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RZ\Desktop\"/>
    </mc:Choice>
  </mc:AlternateContent>
  <xr:revisionPtr revIDLastSave="0" documentId="13_ncr:1_{35C9B94D-834E-4D0B-9439-F25978B59D91}" xr6:coauthVersionLast="47" xr6:coauthVersionMax="47" xr10:uidLastSave="{00000000-0000-0000-0000-000000000000}"/>
  <bookViews>
    <workbookView xWindow="-108" yWindow="-108" windowWidth="23256" windowHeight="125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<sst xmlns="http://schemas.openxmlformats.org/spreadsheetml/2006/main" count="4109" uniqueCount="1892">
  <si>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</si>
  <si>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</si>
  <si>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</si>
  <si>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</si>
  <si>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</si>
  <si>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</si>
  <si>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</si>
  <si>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</si>
  <si>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</si>
  <si>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</si>
  <si>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</si>
  <si>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</si>
  <si>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</si>
  <si>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</si>
  <si>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</si>
  <si>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</si>
  <si>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</si>
  <si>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</si>
  <si>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</si>
  <si>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</si>
  <si>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</si>
  <si>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</si>
  <si>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</si>
  <si>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</si>
  <si>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</si>
  <si>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</si>
  <si>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</si>
  <si>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</si>
  <si>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</si>
  <si>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</si>
  <si>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</si>
  <si>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</si>
  <si>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</si>
  <si>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</si>
  <si>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</si>
  <si>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</si>
  <si>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</si>
  <si>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</si>
  <si>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</si>
  <si>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</si>
  <si>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</si>
  <si>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</si>
  <si>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</si>
  <si>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</si>
  <si>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</si>
  <si>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</si>
  <si>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</si>
  <si>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</si>
  <si>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</si>
  <si>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</si>
  <si>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</si>
  <si>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</si>
  <si>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</si>
  <si>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</si>
  <si>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</si>
  <si>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</si>
  <si>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</si>
  <si>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</si>
  <si>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</si>
  <si>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</si>
  <si>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</si>
  <si>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</si>
  <si>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</si>
  <si>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</si>
  <si>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</si>
  <si>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</si>
  <si>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</si>
  <si>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</si>
  <si>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</si>
  <si>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</si>
  <si>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</si>
  <si>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</si>
  <si>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</si>
  <si>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</si>
  <si>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</si>
  <si>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</si>
  <si>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</si>
  <si>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</si>
  <si>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</si>
  <si>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</si>
  <si>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</si>
  <si>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</si>
  <si>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</si>
  <si>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</si>
  <si>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</si>
  <si>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</si>
  <si>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</si>
  <si>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</si>
  <si>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</si>
  <si>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</si>
  <si>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</si>
  <si>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</si>
  <si>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</si>
  <si>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</si>
  <si>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</si>
  <si>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</si>
  <si>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</si>
  <si>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</si>
  <si>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</si>
  <si>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</si>
  <si>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</si>
  <si>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</si>
  <si>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</si>
  <si>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</si>
  <si>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</si>
  <si>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</si>
  <si>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</si>
  <si>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</si>
  <si>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</si>
  <si>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</si>
  <si>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</si>
  <si>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</si>
  <si>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</si>
  <si>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</si>
  <si>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</si>
  <si>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</si>
  <si>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</si>
  <si>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</si>
  <si>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</si>
  <si>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</si>
  <si>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</si>
  <si>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</si>
  <si>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</si>
  <si>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</si>
  <si>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</si>
  <si>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</si>
  <si>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</si>
  <si>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</si>
  <si>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</si>
  <si>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</si>
  <si>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</si>
  <si>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</si>
  <si>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</si>
  <si>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</si>
  <si>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</si>
  <si>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</si>
  <si>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</si>
  <si>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</si>
  <si>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</si>
  <si>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</si>
  <si>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</si>
  <si>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</si>
  <si>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</si>
  <si>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</si>
  <si>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</si>
  <si>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</si>
  <si>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</si>
  <si>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</si>
  <si>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</si>
  <si>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</si>
  <si>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</si>
  <si>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</si>
  <si>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</si>
  <si>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</si>
  <si>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</si>
  <si>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</si>
  <si>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</si>
  <si>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</si>
  <si>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</si>
  <si>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</si>
  <si>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</si>
  <si>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</si>
  <si>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</si>
  <si>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</si>
  <si>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</si>
  <si>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</si>
  <si>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</si>
  <si>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</si>
  <si>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</si>
  <si>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</si>
  <si>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</si>
  <si>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</si>
  <si>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</si>
  <si>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</si>
  <si>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</si>
  <si>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</si>
  <si>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</si>
  <si>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</si>
  <si>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</si>
  <si>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</si>
  <si>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</si>
  <si>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</si>
  <si>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</si>
  <si>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</si>
  <si>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</si>
  <si>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</si>
  <si>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</si>
  <si>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</si>
  <si>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</si>
  <si>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</si>
  <si>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</si>
  <si>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</si>
  <si>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</si>
  <si>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</si>
  <si>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</si>
  <si>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</si>
  <si>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</si>
  <si>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</si>
  <si>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</si>
  <si>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</si>
  <si>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</si>
  <si>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</si>
  <si>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</si>
  <si>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</si>
  <si>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</si>
  <si>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</si>
  <si>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</si>
  <si>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</si>
  <si>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</si>
  <si>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</si>
  <si>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</si>
  <si>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</si>
  <si>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</si>
  <si>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</si>
  <si>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</si>
  <si>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</si>
  <si>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</si>
  <si>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</si>
  <si>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</si>
  <si>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</si>
  <si>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</si>
  <si>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</si>
  <si>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</si>
  <si>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</si>
  <si>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</si>
  <si>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</si>
  <si>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</si>
  <si>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</si>
  <si>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</si>
  <si>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</si>
  <si>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</si>
  <si>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</si>
  <si>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</si>
  <si>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</si>
  <si>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</si>
  <si>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</si>
  <si>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</si>
  <si>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</si>
  <si>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</si>
  <si>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</si>
  <si>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</si>
  <si>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</si>
  <si>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</si>
  <si>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</si>
  <si>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</si>
  <si>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</si>
  <si>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</si>
  <si>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</si>
  <si>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</si>
  <si>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</si>
  <si>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</si>
  <si>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</si>
  <si>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</si>
  <si>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</si>
  <si>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</si>
  <si>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</si>
  <si>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</si>
  <si>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</si>
  <si>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</si>
  <si>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</si>
  <si>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</si>
  <si>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</si>
  <si>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</si>
  <si>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</si>
  <si>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</si>
  <si>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</si>
  <si>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</si>
  <si>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</si>
  <si>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</si>
  <si>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</si>
  <si>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</si>
  <si>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</si>
  <si>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</si>
  <si>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</si>
  <si>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</si>
  <si>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</si>
  <si>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</si>
  <si>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</si>
  <si>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</si>
  <si>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</si>
  <si>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</si>
  <si>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</si>
  <si>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</si>
  <si>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</si>
  <si>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</si>
  <si>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</si>
  <si>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</si>
  <si>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</si>
  <si>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</si>
  <si>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</si>
  <si>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</si>
  <si>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</si>
  <si>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</si>
  <si>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</si>
  <si>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</si>
  <si>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</si>
  <si>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</si>
  <si>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</si>
  <si>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</si>
  <si>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</si>
  <si>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</si>
  <si>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</si>
  <si>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</si>
  <si>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</si>
  <si>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</si>
  <si>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</si>
  <si>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</si>
  <si>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</si>
  <si>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</si>
  <si>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</si>
  <si>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</si>
  <si>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</si>
  <si>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</si>
  <si>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</si>
  <si>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</si>
  <si>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</si>
  <si>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</si>
  <si>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</si>
  <si>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</si>
  <si>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</si>
  <si>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</si>
  <si>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</si>
  <si>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</si>
  <si>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</si>
  <si>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</si>
  <si>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</si>
  <si>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</si>
  <si>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</si>
  <si>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</si>
  <si>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</si>
  <si>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</si>
  <si>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</si>
  <si>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</si>
  <si>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</si>
  <si>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</si>
  <si>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</si>
  <si>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</si>
  <si>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</si>
  <si>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</si>
  <si>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</si>
  <si>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</si>
  <si>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</si>
  <si>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</si>
  <si>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</si>
  <si>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</si>
  <si>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</si>
  <si>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</si>
  <si>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</si>
  <si>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</si>
  <si>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</si>
  <si>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</si>
  <si>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</si>
  <si>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</si>
  <si>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</si>
  <si>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</si>
  <si>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</si>
  <si>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</si>
  <si>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</si>
  <si>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</si>
  <si>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</si>
  <si>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</si>
  <si>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</si>
  <si>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</si>
  <si>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</si>
  <si>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</si>
  <si>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</si>
  <si>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</si>
  <si>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</si>
  <si>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</si>
  <si>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</si>
  <si>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</si>
  <si>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</si>
  <si>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</si>
  <si>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</si>
  <si>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</si>
  <si>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</si>
  <si>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</si>
  <si>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</si>
  <si>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</si>
  <si>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</si>
  <si>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</si>
  <si>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</si>
  <si>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</si>
  <si>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</si>
  <si>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</si>
  <si>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</si>
  <si>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</si>
  <si>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</si>
  <si>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</si>
  <si>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</si>
  <si>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</si>
  <si>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</si>
  <si>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</si>
  <si>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</si>
  <si>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</si>
  <si>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</si>
  <si>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</si>
  <si>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</si>
  <si>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</si>
  <si>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</si>
  <si>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</si>
  <si>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</si>
  <si>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</si>
  <si>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</si>
  <si>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</si>
  <si>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</si>
  <si>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</si>
  <si>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</si>
  <si>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</si>
  <si>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</si>
  <si>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</si>
  <si>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</si>
  <si>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</si>
  <si>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</si>
  <si>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</si>
  <si>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</si>
  <si>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</si>
  <si>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</si>
  <si>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</si>
  <si>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</si>
  <si>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</si>
  <si>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</si>
  <si>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</si>
  <si>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</si>
  <si>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</si>
  <si>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</si>
  <si>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</si>
  <si>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</si>
  <si>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</si>
  <si>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</si>
  <si>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</si>
  <si>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</si>
  <si>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</si>
  <si>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</si>
  <si>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</si>
  <si>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</si>
  <si>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</si>
  <si>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</si>
  <si>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</si>
  <si>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</si>
  <si>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</si>
  <si>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</si>
  <si>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</si>
  <si>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</si>
  <si>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</si>
  <si>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</si>
  <si>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</si>
  <si>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</si>
  <si>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</si>
  <si>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</si>
  <si>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</si>
  <si>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</si>
  <si>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</si>
  <si>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</si>
  <si>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</si>
  <si>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</si>
  <si>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</si>
  <si>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</si>
  <si>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</si>
  <si>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</si>
  <si>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</si>
  <si>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</si>
  <si>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</si>
  <si>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</si>
  <si>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</si>
  <si>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</si>
  <si>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</si>
  <si>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</si>
  <si>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</si>
  <si>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</si>
  <si>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</si>
  <si>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</si>
  <si>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</si>
  <si>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</si>
  <si>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</si>
  <si>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</si>
  <si>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</si>
  <si>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</si>
  <si>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</si>
  <si>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</si>
  <si>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</si>
  <si>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</si>
  <si>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</si>
  <si>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</si>
  <si>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</si>
  <si>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</si>
  <si>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</si>
  <si>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</si>
  <si>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</si>
  <si>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</si>
  <si>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</si>
  <si>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</si>
  <si>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</si>
  <si>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</si>
  <si>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</si>
  <si>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</si>
  <si>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</si>
  <si>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</si>
  <si>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</si>
  <si>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</si>
  <si>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</si>
  <si>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</si>
  <si>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</si>
  <si>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</si>
  <si>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</si>
  <si>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</si>
  <si>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</si>
  <si>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</si>
  <si>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</si>
  <si>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</si>
  <si>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</si>
  <si>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</si>
  <si>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</si>
  <si>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</si>
  <si>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</si>
  <si>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</si>
  <si>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</si>
  <si>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</si>
  <si>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</si>
  <si>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</si>
  <si>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</si>
  <si>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</si>
  <si>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</si>
  <si>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</si>
  <si>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</si>
  <si>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</si>
  <si>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</si>
  <si>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</si>
  <si>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</si>
  <si>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</si>
  <si>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</si>
  <si>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</si>
  <si>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</si>
  <si>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</si>
  <si>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</si>
  <si>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</si>
  <si>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</si>
  <si>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</si>
  <si>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</si>
  <si>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</si>
  <si>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</si>
  <si>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</si>
  <si>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</si>
  <si>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</si>
  <si>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</si>
  <si>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</si>
  <si>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</si>
  <si>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</si>
  <si>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</si>
  <si>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</si>
  <si>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</si>
  <si>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</si>
  <si>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</si>
  <si>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</si>
  <si>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</si>
  <si>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</si>
  <si>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</si>
  <si>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</si>
  <si>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</si>
  <si>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</si>
  <si>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</si>
  <si>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</si>
  <si>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</si>
  <si>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</si>
  <si>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</si>
  <si>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</si>
  <si>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</si>
  <si>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</si>
  <si>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</si>
  <si>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</si>
  <si>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</si>
  <si>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</si>
  <si>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</si>
  <si>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</si>
  <si>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</si>
  <si>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</si>
  <si>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</si>
  <si>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</si>
  <si>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</si>
  <si>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</si>
  <si>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</si>
  <si>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</si>
  <si>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</si>
  <si>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</si>
  <si>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</si>
  <si>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</si>
  <si>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</si>
  <si>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</si>
  <si>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</si>
  <si>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</si>
  <si>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</si>
  <si>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</si>
  <si>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</si>
  <si>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</si>
  <si>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</si>
  <si>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</si>
  <si>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</si>
  <si>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</si>
  <si>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</si>
  <si>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</si>
  <si>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</si>
  <si>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</si>
  <si>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</si>
  <si>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</si>
  <si>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</si>
  <si>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</si>
  <si>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</si>
  <si>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</si>
  <si>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</si>
  <si>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</si>
  <si>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</si>
  <si>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</si>
  <si>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</si>
  <si>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</si>
  <si>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</si>
  <si>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</si>
  <si>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</si>
  <si>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</si>
  <si>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</si>
  <si>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</si>
  <si>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</si>
  <si>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</si>
  <si>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</si>
  <si>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</si>
  <si>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</si>
  <si>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</si>
  <si>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</si>
  <si>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</si>
  <si>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</si>
  <si>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</si>
  <si>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</si>
  <si>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</si>
  <si>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</si>
  <si>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</si>
  <si>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</si>
  <si>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</si>
  <si>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</si>
  <si>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</si>
  <si>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</si>
  <si>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</si>
  <si>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</si>
  <si>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</si>
  <si>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</si>
  <si>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</si>
  <si>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</si>
  <si>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</si>
  <si>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</si>
  <si>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</si>
  <si>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</si>
  <si>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</si>
  <si>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</si>
  <si>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</si>
  <si>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</si>
  <si>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</si>
  <si>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</si>
  <si>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</si>
  <si>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</si>
  <si>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</si>
  <si>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</si>
  <si>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</si>
  <si>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</si>
  <si>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</si>
  <si>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</si>
  <si>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</si>
  <si>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</si>
  <si>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</si>
  <si>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</si>
  <si>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</si>
  <si>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</si>
  <si>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</si>
  <si>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</si>
  <si>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</si>
  <si>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</si>
  <si>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</si>
  <si>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</si>
  <si>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</si>
  <si>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</si>
  <si>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</si>
  <si>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</si>
  <si>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</si>
  <si>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</si>
  <si>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</si>
  <si>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</si>
  <si>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</si>
  <si>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</si>
  <si>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</si>
  <si>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</si>
  <si>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</si>
  <si>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</si>
  <si>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</si>
  <si>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</si>
  <si>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</si>
  <si>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</si>
  <si>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</si>
  <si>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</si>
  <si>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</si>
  <si>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</si>
  <si>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</si>
  <si>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</si>
  <si>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</si>
  <si>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</si>
  <si>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</si>
  <si>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</si>
  <si>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</si>
  <si>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</si>
  <si>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</si>
  <si>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</si>
  <si>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</si>
  <si>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</si>
  <si>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</si>
  <si>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</si>
  <si>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</si>
  <si>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</si>
  <si>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</si>
  <si>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</si>
  <si>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</si>
  <si>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</si>
  <si>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</si>
  <si>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</si>
  <si>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</si>
  <si>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</si>
  <si>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</si>
  <si>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</si>
  <si>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</si>
  <si>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</si>
  <si>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</si>
  <si>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</si>
  <si>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</si>
  <si>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</si>
  <si>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</si>
  <si>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</si>
  <si>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</si>
  <si>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</si>
  <si>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</si>
  <si>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</si>
  <si>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</si>
  <si>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</si>
  <si>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</si>
  <si>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</si>
  <si>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</si>
  <si>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</si>
  <si>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</si>
  <si>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</si>
  <si>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</si>
  <si>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</si>
  <si>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</si>
  <si>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</si>
  <si>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</si>
  <si>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</si>
  <si>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</si>
  <si>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</si>
  <si>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</si>
  <si>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</si>
  <si>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</si>
  <si>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</si>
  <si>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</si>
  <si>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</si>
  <si>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</si>
  <si>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</si>
  <si>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</si>
  <si>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</si>
  <si>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</si>
  <si>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</si>
  <si>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</si>
  <si>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</si>
  <si>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</si>
  <si>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</si>
  <si>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</si>
  <si>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</si>
  <si>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</si>
  <si>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</si>
  <si>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</si>
  <si>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</si>
  <si>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</si>
  <si>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</si>
  <si>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</si>
  <si>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</si>
  <si>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</si>
  <si>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</si>
  <si>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</si>
  <si>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</si>
  <si>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</si>
  <si>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</si>
  <si>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</si>
  <si>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</si>
  <si>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</si>
  <si>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</si>
  <si>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</si>
  <si>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</si>
  <si>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</si>
  <si>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</si>
  <si>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</si>
  <si>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</si>
  <si>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</si>
  <si>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</si>
  <si>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</si>
  <si>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</si>
  <si>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</si>
  <si>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</si>
  <si>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</si>
  <si>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</si>
  <si>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</si>
  <si>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</si>
  <si>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</si>
  <si>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</si>
  <si>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</si>
  <si>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</si>
  <si>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</si>
  <si>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</si>
  <si>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</si>
  <si>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</si>
  <si>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</si>
  <si>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</si>
  <si>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</si>
  <si>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</si>
  <si>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</si>
  <si>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</si>
  <si>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</si>
  <si>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</si>
  <si>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</si>
  <si>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</si>
  <si>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</si>
  <si>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</si>
  <si>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</si>
  <si>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</si>
  <si>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</si>
  <si>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</si>
  <si>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</si>
  <si>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</si>
  <si>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</si>
  <si>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</si>
  <si>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</si>
  <si>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</si>
  <si>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</si>
  <si>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</si>
  <si>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</si>
  <si>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</si>
  <si>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</si>
  <si>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</si>
  <si>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</si>
  <si>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</si>
  <si>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</si>
  <si>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</si>
  <si>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</si>
  <si>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</si>
  <si>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</si>
  <si>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</si>
  <si>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</si>
  <si>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</si>
  <si>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</si>
  <si>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</si>
  <si>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</si>
  <si>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</si>
  <si>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</si>
  <si>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</si>
  <si>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</si>
  <si>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</si>
  <si>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</si>
  <si>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</si>
  <si>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</si>
  <si>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</si>
  <si>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</si>
  <si>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</si>
  <si>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</si>
  <si>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</si>
  <si>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</si>
  <si>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</si>
  <si>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</si>
  <si>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</si>
  <si>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</si>
  <si>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</si>
  <si>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</si>
  <si>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</si>
  <si>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</si>
  <si>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</si>
  <si>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</si>
  <si>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</si>
  <si>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</si>
  <si>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</si>
  <si>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</si>
  <si>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</si>
  <si>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</si>
  <si>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</si>
  <si>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</si>
  <si>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</si>
  <si>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</si>
  <si>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</si>
  <si>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</si>
  <si>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</si>
  <si>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</si>
  <si>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</si>
  <si>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</si>
  <si>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</si>
  <si>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</si>
  <si>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</si>
  <si>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</si>
  <si>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</si>
  <si>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</si>
  <si>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</si>
  <si>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</si>
  <si>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</si>
  <si>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</si>
  <si>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</si>
  <si>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</si>
  <si>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</si>
  <si>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</si>
  <si>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</si>
  <si>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</si>
  <si>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</si>
  <si>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</si>
  <si>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</si>
  <si>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</si>
  <si>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</si>
  <si>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</si>
  <si>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</si>
  <si>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</si>
  <si>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</si>
  <si>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</si>
  <si>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</si>
  <si>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</si>
  <si>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</si>
  <si>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</si>
  <si>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</si>
  <si>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</si>
  <si>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</si>
  <si>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</si>
  <si>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</si>
  <si>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</si>
  <si>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</si>
  <si>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</si>
  <si>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</si>
  <si>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</si>
  <si>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</si>
  <si>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</si>
  <si>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</si>
  <si>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</si>
  <si>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</si>
  <si>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</si>
  <si>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</si>
  <si>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</si>
  <si>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</si>
  <si>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</si>
  <si>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</si>
  <si>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</si>
  <si>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</si>
  <si>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</si>
  <si>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</si>
  <si>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</si>
  <si>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</si>
  <si>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</si>
  <si>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</si>
  <si>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</si>
  <si>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</si>
  <si>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</si>
  <si>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</si>
  <si>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</si>
  <si>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</si>
  <si>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</si>
  <si>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</si>
  <si>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</si>
  <si>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</si>
  <si>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</si>
  <si>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</si>
  <si>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</si>
  <si>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</si>
  <si>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</si>
  <si>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</si>
  <si>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</si>
  <si>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</si>
  <si>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</si>
  <si>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</si>
  <si>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</si>
  <si>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</si>
  <si>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</si>
  <si>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</si>
  <si>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</si>
  <si>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</si>
  <si>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</si>
  <si>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</si>
  <si>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</si>
  <si>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</si>
  <si>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</si>
  <si>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</si>
  <si>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</si>
  <si>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</si>
  <si>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</si>
  <si>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</si>
  <si>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</si>
  <si>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</si>
  <si>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</si>
  <si>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</si>
  <si>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</si>
  <si>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</si>
  <si>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</si>
  <si>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</si>
  <si>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</si>
  <si>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</si>
  <si>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</si>
  <si>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</si>
  <si>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</si>
  <si>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</si>
  <si>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</si>
  <si>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</si>
  <si>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</si>
  <si>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</si>
  <si>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</si>
  <si>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</si>
  <si>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</si>
  <si>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</si>
  <si>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</si>
  <si>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</si>
  <si>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</si>
  <si>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</si>
  <si>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</si>
  <si>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</si>
  <si>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</si>
  <si>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</si>
  <si>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</si>
  <si>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</si>
  <si>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</si>
  <si>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</si>
  <si>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</si>
  <si>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</si>
  <si>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</si>
  <si>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</si>
  <si>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</si>
  <si>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</si>
  <si>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</si>
  <si>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</si>
  <si>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</si>
  <si>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</si>
  <si>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</si>
  <si>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</si>
  <si>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</si>
  <si>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</si>
  <si>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</si>
  <si>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</si>
  <si>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</si>
  <si>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</si>
  <si>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</si>
  <si>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</si>
  <si>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</si>
  <si>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</si>
  <si>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</si>
  <si>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</si>
  <si>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</si>
  <si>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</si>
  <si>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</si>
  <si>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</si>
  <si>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</si>
  <si>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</si>
  <si>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</si>
  <si>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</si>
  <si>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</si>
  <si>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</si>
  <si>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</si>
  <si>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</si>
  <si>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</si>
  <si>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</si>
  <si>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</si>
  <si>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</si>
  <si>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</si>
  <si>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</si>
  <si>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</si>
  <si>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</si>
  <si>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</si>
  <si>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</si>
  <si>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</si>
  <si>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</si>
  <si>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</si>
  <si>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</si>
  <si>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</si>
  <si>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</si>
  <si>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</si>
  <si>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</si>
  <si>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</si>
  <si>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</si>
  <si>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</si>
  <si>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</si>
  <si>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</si>
  <si>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</si>
  <si>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</si>
  <si>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</si>
  <si>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</si>
  <si>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</si>
  <si>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</si>
  <si>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</si>
  <si>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</si>
  <si>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</si>
  <si>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</si>
  <si>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</si>
  <si>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</si>
  <si>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</si>
  <si>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</si>
  <si>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</si>
  <si>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</si>
  <si>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</si>
  <si>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</si>
  <si>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</si>
  <si>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</si>
  <si>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</si>
  <si>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</si>
  <si>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</si>
  <si>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</si>
  <si>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</si>
  <si>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</si>
  <si>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</si>
  <si>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</si>
  <si>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</si>
  <si>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</si>
  <si>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</si>
  <si>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</si>
  <si>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</si>
  <si>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</si>
  <si>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</si>
  <si>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</si>
  <si>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</si>
  <si>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</si>
  <si>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</si>
  <si>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</si>
  <si>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</si>
  <si>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</si>
  <si>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</si>
  <si>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</si>
  <si>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</si>
  <si>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</si>
  <si>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</si>
  <si>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</si>
  <si>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</si>
  <si>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</si>
  <si>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</si>
  <si>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</si>
  <si>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</si>
  <si>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</si>
  <si>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</si>
  <si>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</si>
  <si>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</si>
  <si>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</si>
  <si>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</si>
  <si>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</si>
  <si>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</si>
  <si>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</si>
  <si>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</si>
  <si>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</si>
  <si>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</si>
  <si>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</si>
  <si>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</si>
  <si>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</si>
  <si>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</si>
  <si>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</si>
  <si>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</si>
  <si>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</si>
  <si>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</si>
  <si>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</si>
  <si>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</si>
  <si>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</si>
  <si>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</si>
  <si>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</si>
  <si>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</si>
  <si>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</si>
  <si>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</si>
  <si>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</si>
  <si>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</si>
  <si>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</si>
  <si>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</si>
  <si>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</si>
  <si>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</si>
  <si>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</si>
  <si>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</si>
  <si>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</si>
  <si>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</si>
  <si>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</si>
  <si>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</si>
  <si>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</si>
  <si>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</si>
  <si>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</si>
  <si>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</si>
  <si>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</si>
  <si>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</si>
  <si>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</si>
  <si>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</si>
  <si>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</si>
  <si>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</si>
  <si>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</si>
  <si>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</si>
  <si>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</si>
  <si>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</si>
  <si>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</si>
  <si>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</si>
  <si>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</si>
  <si>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</si>
  <si>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</si>
  <si>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</si>
  <si>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</si>
  <si>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</si>
  <si>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</si>
  <si>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</si>
  <si>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</si>
  <si>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</si>
  <si>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</si>
  <si>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</si>
  <si>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</si>
  <si>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</si>
  <si>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</si>
  <si>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</si>
  <si>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</si>
  <si>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</si>
  <si>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</si>
  <si>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</si>
  <si>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</si>
  <si>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</si>
  <si>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</si>
  <si>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</si>
  <si>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</si>
  <si>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</si>
  <si>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</si>
  <si>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</si>
  <si>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</si>
  <si>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</si>
  <si>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</si>
  <si>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</si>
  <si>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</si>
  <si>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</si>
  <si>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</si>
  <si>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</si>
  <si>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</si>
  <si>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</si>
  <si>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</si>
  <si>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</si>
  <si>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</si>
  <si>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</si>
  <si>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</si>
  <si>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</si>
  <si>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</si>
  <si>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</si>
  <si>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</si>
  <si>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</si>
  <si>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</si>
  <si>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</si>
  <si>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</si>
  <si>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</si>
  <si>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</si>
  <si>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</si>
  <si>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</si>
  <si>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</si>
  <si>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</si>
  <si>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</si>
  <si>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</si>
  <si>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</si>
  <si>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</si>
  <si>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</si>
  <si>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</si>
  <si>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</si>
  <si>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</si>
  <si>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</si>
  <si>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</si>
  <si>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</si>
  <si>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</si>
  <si>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</si>
  <si>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</si>
  <si>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</si>
  <si>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</si>
  <si>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</si>
  <si>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</si>
  <si>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</si>
  <si>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</si>
  <si>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</si>
  <si>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</si>
  <si>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</si>
  <si>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</si>
  <si>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</si>
  <si>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</si>
  <si>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</si>
  <si>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</si>
  <si>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</si>
  <si>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</si>
  <si>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</si>
  <si>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</si>
  <si>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</si>
  <si>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</si>
  <si>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</si>
  <si>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</si>
  <si>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</si>
  <si>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</si>
  <si>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</si>
  <si>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</si>
  <si>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</si>
  <si>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</si>
  <si>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</si>
  <si>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</si>
  <si>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</si>
  <si>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</si>
  <si>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</si>
  <si>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</si>
  <si>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</si>
  <si>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</si>
  <si>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</si>
  <si>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</si>
  <si>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</si>
  <si>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</si>
  <si>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</si>
  <si>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</si>
  <si>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</si>
  <si>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</si>
  <si>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</si>
  <si>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</si>
  <si>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</si>
  <si>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</si>
  <si>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</si>
  <si>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</si>
  <si>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</si>
  <si>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</si>
  <si>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</si>
  <si>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</si>
  <si>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</si>
  <si>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</si>
  <si>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</si>
  <si>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</si>
  <si>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</si>
  <si>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</si>
  <si>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</si>
  <si>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</si>
  <si>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</si>
  <si>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</si>
  <si>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</si>
  <si>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</si>
  <si>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</si>
  <si>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</si>
  <si>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</si>
  <si>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</si>
  <si>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</si>
  <si>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</si>
  <si>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</si>
  <si>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</si>
  <si>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</si>
  <si>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</si>
  <si>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</si>
  <si>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</si>
  <si>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</si>
  <si>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</si>
  <si>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</si>
  <si>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</si>
  <si>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</si>
  <si>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</si>
  <si>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</si>
  <si>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</si>
  <si>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</si>
  <si>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</si>
  <si>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</si>
  <si>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</si>
  <si>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</si>
  <si>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</si>
  <si>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</si>
  <si>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</si>
  <si>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</si>
  <si>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</si>
  <si>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</si>
  <si>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</si>
  <si>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</si>
  <si>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</si>
  <si>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</si>
  <si>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</si>
  <si>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</si>
  <si>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</si>
  <si>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</si>
  <si>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</si>
  <si>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</si>
  <si>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</si>
  <si>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</si>
  <si>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</si>
  <si>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</si>
  <si>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</si>
  <si>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</si>
  <si>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</si>
  <si>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</si>
  <si>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</si>
  <si>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</si>
  <si>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</si>
  <si>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</si>
  <si>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</si>
  <si>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</si>
  <si>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</si>
  <si>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</si>
  <si>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</si>
  <si>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</si>
  <si>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</si>
  <si>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</si>
  <si>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</si>
  <si>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</si>
  <si>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</si>
  <si>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</si>
  <si>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</si>
  <si>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</si>
  <si>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</si>
  <si>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</si>
  <si>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</si>
  <si>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</si>
  <si>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</si>
  <si>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</si>
  <si>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</si>
  <si>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</si>
  <si>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</si>
  <si>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</si>
  <si>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</si>
  <si>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</si>
  <si>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</si>
  <si>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</si>
  <si>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</si>
  <si>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</si>
  <si>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</si>
  <si>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</si>
  <si>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</si>
  <si>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</si>
  <si>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</si>
  <si>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</si>
  <si>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</si>
  <si>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</si>
  <si>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</si>
  <si>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</si>
  <si>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</si>
  <si>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</si>
  <si>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</si>
  <si>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</si>
  <si>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</si>
  <si>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</si>
  <si>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</si>
  <si>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</si>
  <si>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</si>
  <si>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</si>
  <si>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</si>
  <si>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</si>
  <si>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</si>
  <si>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</si>
  <si>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</si>
  <si>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</si>
  <si>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</si>
  <si>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</si>
  <si>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</si>
  <si>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</si>
  <si>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</si>
  <si>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</si>
  <si>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</si>
  <si>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</si>
  <si>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</si>
  <si>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</si>
  <si>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</si>
  <si>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</si>
  <si>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</si>
  <si>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</si>
  <si>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</si>
  <si>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</si>
  <si>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</si>
  <si>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</si>
  <si>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</si>
  <si>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</si>
  <si>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</si>
  <si>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</si>
  <si>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</si>
  <si>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</si>
  <si>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</si>
  <si>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</si>
  <si>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</si>
  <si>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</si>
  <si>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</si>
  <si>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</si>
  <si>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</si>
  <si>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</si>
  <si>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</si>
  <si>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</si>
  <si>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</si>
  <si>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</si>
  <si>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</si>
  <si>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</si>
  <si>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</si>
  <si>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</si>
  <si>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</si>
  <si>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</si>
  <si>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</si>
  <si>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</si>
  <si>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</si>
  <si>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</si>
  <si>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</si>
  <si>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</si>
  <si>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</si>
  <si>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</si>
  <si>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</si>
  <si>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</si>
  <si>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</si>
  <si>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</si>
  <si>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</si>
  <si>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</si>
  <si>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</si>
  <si>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</si>
  <si>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</si>
  <si>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</si>
  <si>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</si>
  <si>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</si>
  <si>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</si>
  <si>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</si>
  <si>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</si>
  <si>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</si>
  <si>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</si>
  <si>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</si>
  <si>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</si>
  <si>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</si>
  <si>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</si>
  <si>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</si>
  <si>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</si>
  <si>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</si>
  <si>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</si>
  <si>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</si>
  <si>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</si>
  <si>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</si>
  <si>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</si>
  <si>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</si>
  <si>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</si>
  <si>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</si>
  <si>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</si>
  <si>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</si>
  <si>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</si>
  <si>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</si>
  <si>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</si>
  <si>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</si>
  <si>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</si>
  <si>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</si>
  <si>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</si>
  <si>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</si>
  <si>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</si>
  <si>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</si>
  <si>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</si>
  <si>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</si>
  <si>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</si>
  <si>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</si>
  <si>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</si>
  <si>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</si>
  <si>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</si>
  <si>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</si>
  <si>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</si>
  <si>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</si>
  <si>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</si>
  <si>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</si>
  <si>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</si>
  <si>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</si>
  <si>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</si>
  <si>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</si>
  <si>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</si>
  <si>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</si>
  <si>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</si>
  <si>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</si>
  <si>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</si>
  <si>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</si>
  <si>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</si>
  <si>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</si>
  <si>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</si>
  <si>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</si>
  <si>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</si>
  <si>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</si>
  <si>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</si>
  <si>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</si>
  <si>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</si>
  <si>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</si>
  <si>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</si>
  <si>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</si>
  <si>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</si>
  <si>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</si>
  <si>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</si>
  <si>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</si>
  <si>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</si>
  <si>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</si>
  <si>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</si>
  <si>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</si>
  <si>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</si>
  <si>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</si>
  <si>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</si>
  <si>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</si>
  <si>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</si>
  <si>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</si>
  <si>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</si>
  <si>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</si>
  <si>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</si>
  <si>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</si>
  <si>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</si>
  <si>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</si>
  <si>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</si>
  <si>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</si>
  <si>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</si>
  <si>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</si>
  <si>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</si>
  <si>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</si>
  <si>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</si>
  <si>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</si>
  <si>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</si>
  <si>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</si>
  <si>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</si>
  <si>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</si>
  <si>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</si>
  <si>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</si>
  <si>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</si>
  <si>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</si>
  <si>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</si>
  <si>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</si>
  <si>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</si>
  <si>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</si>
  <si>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</si>
  <si>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</si>
  <si>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</si>
  <si>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</si>
  <si>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</si>
  <si>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</si>
  <si>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</si>
  <si>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</si>
  <si>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</si>
  <si>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</si>
  <si>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</si>
  <si>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</si>
  <si>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</si>
  <si>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</si>
  <si>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</si>
  <si>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</si>
  <si>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</si>
  <si>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</si>
  <si>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</si>
  <si>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</si>
  <si>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</si>
  <si>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</si>
  <si>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</si>
  <si>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</si>
  <si>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</si>
  <si>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</si>
  <si>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</si>
  <si>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</si>
  <si>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</si>
  <si>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</si>
  <si>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</si>
  <si>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</si>
  <si>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</si>
  <si>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</si>
  <si>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</si>
  <si>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</si>
  <si>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</si>
  <si>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</si>
  <si>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</si>
  <si>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</si>
  <si>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</si>
  <si>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</si>
  <si>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</si>
  <si>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</si>
  <si>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</si>
  <si>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</si>
  <si>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</si>
  <si>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</si>
  <si>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</si>
  <si>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</si>
  <si>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</si>
  <si>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</si>
  <si>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</si>
  <si>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</si>
  <si>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</si>
  <si>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</si>
  <si>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</si>
  <si>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</si>
  <si>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</si>
  <si>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</si>
  <si>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</si>
  <si>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</si>
  <si>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</si>
  <si>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</si>
  <si>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</si>
  <si>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</si>
  <si>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</si>
  <si>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</si>
  <si>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</si>
  <si>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</si>
  <si>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</si>
  <si>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</si>
  <si>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</si>
  <si>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</si>
  <si>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</si>
  <si>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</si>
  <si>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</si>
  <si>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</si>
  <si>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</si>
  <si>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</si>
  <si>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</si>
  <si>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</si>
  <si>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</si>
  <si>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</si>
  <si>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</si>
  <si>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</si>
  <si>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</si>
  <si>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</si>
  <si>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</si>
  <si>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</si>
  <si>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</si>
  <si>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</si>
  <si>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</si>
  <si>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</si>
  <si>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</si>
  <si>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</si>
  <si>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</si>
  <si>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</si>
  <si>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</si>
  <si>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</si>
  <si>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</si>
  <si>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</si>
  <si>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</si>
  <si>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</si>
  <si>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</si>
  <si>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</si>
  <si>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</si>
  <si>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</si>
  <si>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</si>
  <si>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</si>
  <si>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</si>
  <si>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</si>
  <si>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</si>
  <si>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</si>
  <si>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</si>
  <si>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</si>
  <si>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</si>
  <si>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</si>
  <si>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</si>
  <si>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</si>
  <si>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</si>
  <si>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</si>
  <si>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</si>
  <si>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</si>
  <si>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</si>
  <si>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</si>
  <si>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</si>
  <si>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</si>
  <si>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</si>
  <si>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</si>
  <si>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</si>
  <si>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</si>
  <si>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</si>
  <si>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</si>
  <si>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</si>
  <si>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</si>
  <si>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</si>
  <si>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</si>
  <si>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</si>
  <si>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</si>
  <si>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</si>
  <si>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</si>
  <si>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</si>
  <si>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</si>
  <si>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</si>
  <si>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</si>
  <si>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</si>
  <si>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</si>
  <si>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</si>
  <si>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</si>
  <si>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</si>
  <si>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</si>
  <si>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</si>
  <si>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</si>
  <si>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</si>
  <si>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</si>
  <si>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</si>
  <si>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</si>
  <si>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</si>
  <si>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</si>
  <si>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</si>
  <si>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</si>
  <si>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</si>
  <si>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</si>
  <si>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</si>
  <si>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</si>
  <si>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</si>
  <si>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</si>
  <si>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</si>
  <si>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</si>
  <si>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</si>
  <si>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</si>
  <si>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</si>
  <si>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</si>
  <si>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</si>
  <si>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</si>
  <si>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</si>
  <si>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</si>
  <si>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</si>
  <si>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</si>
  <si>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</si>
  <si>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</si>
  <si>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</si>
  <si>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</si>
  <si>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</si>
  <si>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</si>
  <si>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</si>
  <si>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</si>
  <si>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</si>
  <si>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</si>
  <si>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</si>
  <si>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</si>
  <si>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</si>
  <si>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</si>
  <si>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</si>
  <si>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</si>
  <si>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</si>
  <si>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</si>
  <si>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</si>
  <si>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</si>
  <si>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</si>
  <si>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</si>
  <si>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</si>
  <si>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</si>
  <si>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</si>
  <si>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</si>
  <si>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</si>
  <si>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</si>
  <si>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</si>
  <si>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</si>
  <si>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</si>
  <si>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</si>
  <si>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</si>
  <si>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</si>
  <si>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</si>
  <si>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</si>
  <si>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</si>
  <si>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</si>
  <si>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</si>
  <si>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</si>
  <si>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</si>
  <si>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</si>
  <si>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</si>
  <si>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</si>
  <si>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</si>
  <si>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</si>
  <si>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</si>
  <si>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</si>
  <si>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</si>
  <si>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</si>
  <si>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</si>
  <si>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</si>
  <si>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</si>
  <si>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</si>
  <si>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</si>
  <si>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</si>
  <si>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</si>
  <si>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</si>
  <si>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</si>
  <si>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</si>
  <si>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</si>
  <si>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</si>
  <si>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</si>
  <si>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</si>
  <si>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</si>
  <si>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</si>
  <si>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</si>
  <si>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</si>
  <si>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</si>
  <si>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</si>
  <si>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</si>
  <si>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zväz športového rybolovu</t>
  </si>
  <si>
    <t>a - športové rybárstvo - bežné transfery</t>
  </si>
  <si>
    <t xml:space="preserve">                     35937874          30807484               42499500</t>
  </si>
  <si>
    <t>Hrubé mzdy vyplatené osobám (zamestnancom) vrátane odvodov zamestnávateľa
počet fyzických osôb 2
obdobie január 2026</t>
  </si>
  <si>
    <t>osoba č. 1,2                                      Všeobecná zdravotná poisťovňa Sociálna poisťovňa,              Daňový úrad</t>
  </si>
  <si>
    <t>BU2-004-001  BU2-004-002 BU2-004-003 BU2-004-004  BU2-004-005</t>
  </si>
  <si>
    <t>Hrubé mzdy vyplatené osobám (zamestnancom) vrátane odvodov zamestnávateľa
počet fyzických osôb 2
obdobie február 2026</t>
  </si>
  <si>
    <t>FV126100025</t>
  </si>
  <si>
    <t>športové potreby pre rozhodcov na preteky LRU kapor: prístrešok Mivardi Base Camp XXL 2ks, prístavná podlaha pre prístrešok 2ks</t>
  </si>
  <si>
    <t>36610739</t>
  </si>
  <si>
    <t>PNEUMATO s.r.o.</t>
  </si>
  <si>
    <t>1/2026</t>
  </si>
  <si>
    <t>vyúčtovanie poistného 1/2026 k poisteniu 080001489</t>
  </si>
  <si>
    <t>Allianz - Slovenská poisťovňa</t>
  </si>
  <si>
    <t>00151700</t>
  </si>
  <si>
    <t>15/2026</t>
  </si>
  <si>
    <t>registračný poplatok na 15. MS národov LRU feeder v dňoch 16.04.-18.04.2026 v Taliansku</t>
  </si>
  <si>
    <t>Taliansko</t>
  </si>
  <si>
    <t>FIPSAS</t>
  </si>
  <si>
    <t>22/2026</t>
  </si>
  <si>
    <t>registračný poplatok na 23. MS národov LRU prívlač v dňoch 7.5.-10.5.2026 v Taliansku</t>
  </si>
  <si>
    <t>FIPSAS EVENTI</t>
  </si>
  <si>
    <t>23/2026</t>
  </si>
  <si>
    <t>Maďarsko</t>
  </si>
  <si>
    <t>registračný poplatok na 6. MS národov LRU method feeder v dňoch 21.5.-23.5.2026 v Maďarsku</t>
  </si>
  <si>
    <t>MOHOSZ</t>
  </si>
  <si>
    <t>17/2026</t>
  </si>
  <si>
    <t>registračný poplatok na 1. MS národov zdravotne znevýhodnených LRU feeder v dňoch 16.4.-18.4.2026 v Taliansku</t>
  </si>
  <si>
    <t>BU2-005-001  BU2-005-002 BU2-005-003 BU2-005-004  BU2-005-005</t>
  </si>
  <si>
    <t>BU2-006-001</t>
  </si>
  <si>
    <t>BU2-007-001</t>
  </si>
  <si>
    <t>BU2-007-002</t>
  </si>
  <si>
    <t>BU2-007-003</t>
  </si>
  <si>
    <t>BU2-008-001</t>
  </si>
  <si>
    <t>BU2-009-001</t>
  </si>
  <si>
    <t xml:space="preserve">LRU </t>
  </si>
  <si>
    <t>lov rýb udicou</t>
  </si>
  <si>
    <t xml:space="preserve">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</si>
</sst>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91" val="7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1578</v>
      </c>
    </row>
    <row r="2" spans="1:4" s="18" customFormat="1" ht="61.2" customHeight="1" x14ac:dyDescent="0.25">
      <c r="A2" s="297" t="s">
        <v>1579</v>
      </c>
      <c r="C2" s="322"/>
      <c r="D2" s="322"/>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1438</v>
      </c>
      <c r="C7" s="197"/>
      <c r="D7" s="197"/>
    </row>
    <row r="8" spans="1:4" s="18" customFormat="1" ht="17.399999999999999" x14ac:dyDescent="0.25">
      <c r="A8" s="285" t="s">
        <v>3</v>
      </c>
      <c r="C8" s="197"/>
      <c r="D8" s="197"/>
    </row>
    <row r="9" spans="1:4" s="18" customFormat="1" ht="17.399999999999999" x14ac:dyDescent="0.25">
      <c r="A9" s="261" t="s">
        <v>1214</v>
      </c>
      <c r="C9" s="197"/>
      <c r="D9" s="197"/>
    </row>
    <row r="10" spans="1:4" s="18" customFormat="1" ht="17.399999999999999" x14ac:dyDescent="0.25">
      <c r="A10" s="261" t="s">
        <v>1215</v>
      </c>
      <c r="C10" s="197"/>
      <c r="D10" s="197"/>
    </row>
    <row r="11" spans="1:4" s="18" customFormat="1" ht="17.399999999999999" x14ac:dyDescent="0.25">
      <c r="A11" s="285" t="s">
        <v>1216</v>
      </c>
      <c r="C11" s="197"/>
      <c r="D11" s="197"/>
    </row>
    <row r="12" spans="1:4" s="18" customFormat="1" ht="39.6" x14ac:dyDescent="0.25">
      <c r="A12" s="285" t="s">
        <v>1217</v>
      </c>
      <c r="C12" s="197"/>
      <c r="D12" s="197"/>
    </row>
    <row r="13" spans="1:4" s="18" customFormat="1" ht="24.6" customHeight="1" x14ac:dyDescent="0.25">
      <c r="A13" s="293" t="s">
        <v>1234</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23"/>
      <c r="D22" s="323"/>
    </row>
    <row r="23" spans="1:4" x14ac:dyDescent="0.25">
      <c r="C23" s="324"/>
      <c r="D23" s="323"/>
    </row>
    <row r="24" spans="1:4" ht="67.95" customHeight="1" x14ac:dyDescent="0.25">
      <c r="A24" s="23" t="s">
        <v>1235</v>
      </c>
      <c r="C24" s="247"/>
      <c r="D24" s="248"/>
    </row>
    <row r="25" spans="1:4" x14ac:dyDescent="0.25">
      <c r="C25" s="320"/>
      <c r="D25" s="321"/>
    </row>
    <row r="26" spans="1:4" ht="28.5" customHeight="1" x14ac:dyDescent="0.25">
      <c r="A26" s="23" t="s">
        <v>8</v>
      </c>
    </row>
    <row r="28" spans="1:4" ht="26.4" x14ac:dyDescent="0.25">
      <c r="A28" s="19" t="s">
        <v>1567</v>
      </c>
      <c r="B28" s="253"/>
    </row>
    <row r="29" spans="1:4" x14ac:dyDescent="0.25">
      <c r="A29" s="20"/>
    </row>
    <row r="30" spans="1:4" ht="41.55" customHeight="1" x14ac:dyDescent="0.25">
      <c r="A30" s="23" t="s">
        <v>9</v>
      </c>
    </row>
    <row r="32" spans="1:4" ht="26.4" x14ac:dyDescent="0.25">
      <c r="A32" s="19" t="s">
        <v>1218</v>
      </c>
    </row>
    <row r="34" spans="1:3" x14ac:dyDescent="0.25">
      <c r="A34" s="19" t="s">
        <v>1219</v>
      </c>
    </row>
    <row r="36" spans="1:3" ht="52.8" x14ac:dyDescent="0.25">
      <c r="A36" s="19" t="s">
        <v>1221</v>
      </c>
    </row>
    <row r="38" spans="1:3" ht="26.4" x14ac:dyDescent="0.25">
      <c r="A38" s="263" t="s">
        <v>1220</v>
      </c>
    </row>
    <row r="40" spans="1:3" ht="79.2" x14ac:dyDescent="0.25">
      <c r="A40" s="23" t="s">
        <v>1222</v>
      </c>
    </row>
    <row r="42" spans="1:3" ht="26.4" x14ac:dyDescent="0.25">
      <c r="A42" s="19" t="s">
        <v>10</v>
      </c>
    </row>
    <row r="44" spans="1:3" ht="79.2" x14ac:dyDescent="0.25">
      <c r="A44" s="291" t="s">
        <v>1569</v>
      </c>
      <c r="C44" s="22"/>
    </row>
    <row r="45" spans="1:3" ht="66" x14ac:dyDescent="0.25">
      <c r="A45" s="289" t="s">
        <v>1570</v>
      </c>
      <c r="C45" s="22"/>
    </row>
    <row r="46" spans="1:3" x14ac:dyDescent="0.25">
      <c r="A46" s="283"/>
      <c r="C46" s="22"/>
    </row>
    <row r="47" spans="1:3" ht="52.8" x14ac:dyDescent="0.25">
      <c r="A47" s="290" t="s">
        <v>11</v>
      </c>
      <c r="C47" s="22"/>
    </row>
    <row r="49" spans="1:1" x14ac:dyDescent="0.25">
      <c r="A49" s="291" t="s">
        <v>1223</v>
      </c>
    </row>
    <row r="51" spans="1:1" ht="39.6" x14ac:dyDescent="0.25">
      <c r="A51" s="19" t="s">
        <v>1224</v>
      </c>
    </row>
    <row r="53" spans="1:1" ht="79.2" x14ac:dyDescent="0.25">
      <c r="A53" s="19" t="s">
        <v>1225</v>
      </c>
    </row>
    <row r="55" spans="1:1" ht="48.45" customHeight="1" x14ac:dyDescent="0.25">
      <c r="A55" s="19" t="s">
        <v>1226</v>
      </c>
    </row>
    <row r="57" spans="1:1" ht="19.05" customHeight="1" x14ac:dyDescent="0.25">
      <c r="A57" s="19" t="s">
        <v>12</v>
      </c>
    </row>
    <row r="59" spans="1:1" ht="18.45" customHeight="1" x14ac:dyDescent="0.25">
      <c r="A59" s="19" t="s">
        <v>13</v>
      </c>
    </row>
    <row r="61" spans="1:1" ht="145.19999999999999" x14ac:dyDescent="0.25">
      <c r="A61" s="23" t="s">
        <v>1227</v>
      </c>
    </row>
    <row r="62" spans="1:1" x14ac:dyDescent="0.25">
      <c r="A62" s="23"/>
    </row>
    <row r="63" spans="1:1" x14ac:dyDescent="0.25">
      <c r="A63" s="19" t="s">
        <v>14</v>
      </c>
    </row>
    <row r="64" spans="1:1" ht="26.4" x14ac:dyDescent="0.25">
      <c r="A64" s="19" t="s">
        <v>15</v>
      </c>
    </row>
    <row r="65" spans="1:1" ht="29.55" customHeight="1" x14ac:dyDescent="0.25">
      <c r="A65" s="19" t="s">
        <v>1228</v>
      </c>
    </row>
    <row r="67" spans="1:1" ht="88.05"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6.95" customHeight="1" x14ac:dyDescent="0.25">
      <c r="A73" s="300" t="s">
        <v>1243</v>
      </c>
    </row>
    <row r="74" spans="1:1" ht="39.6" x14ac:dyDescent="0.25">
      <c r="A74" s="23" t="s">
        <v>1244</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6.95" customHeight="1" x14ac:dyDescent="0.25">
      <c r="A93" s="23" t="s">
        <v>33</v>
      </c>
      <c r="B93" s="254"/>
    </row>
    <row r="94" spans="1:2" x14ac:dyDescent="0.25">
      <c r="A94" s="23"/>
    </row>
    <row r="95" spans="1:2" x14ac:dyDescent="0.25">
      <c r="A95" s="252" t="s">
        <v>34</v>
      </c>
    </row>
    <row r="96" spans="1:2" ht="52.8" x14ac:dyDescent="0.25">
      <c r="A96" s="23" t="s">
        <v>1236</v>
      </c>
    </row>
    <row r="97" spans="1:4" x14ac:dyDescent="0.25">
      <c r="A97" s="23"/>
    </row>
    <row r="98" spans="1:4" x14ac:dyDescent="0.25">
      <c r="A98" s="252" t="s">
        <v>35</v>
      </c>
    </row>
    <row r="99" spans="1:4" ht="79.2" x14ac:dyDescent="0.25">
      <c r="A99" s="23" t="s">
        <v>1237</v>
      </c>
    </row>
    <row r="100" spans="1:4" x14ac:dyDescent="0.25">
      <c r="A100" s="23"/>
    </row>
    <row r="101" spans="1:4" x14ac:dyDescent="0.25">
      <c r="A101" s="252" t="s">
        <v>36</v>
      </c>
    </row>
    <row r="102" spans="1:4" ht="82.05" customHeight="1" x14ac:dyDescent="0.25">
      <c r="A102" s="23" t="s">
        <v>1238</v>
      </c>
    </row>
    <row r="103" spans="1:4" x14ac:dyDescent="0.25">
      <c r="A103" s="23"/>
    </row>
    <row r="104" spans="1:4" x14ac:dyDescent="0.25">
      <c r="A104" s="286" t="s">
        <v>37</v>
      </c>
    </row>
    <row r="105" spans="1:4" ht="55.05" customHeight="1" x14ac:dyDescent="0.25">
      <c r="A105" s="23" t="s">
        <v>1239</v>
      </c>
    </row>
    <row r="106" spans="1:4" x14ac:dyDescent="0.25">
      <c r="A106" s="23"/>
      <c r="B106" s="20" t="s">
        <v>38</v>
      </c>
    </row>
    <row r="107" spans="1:4" x14ac:dyDescent="0.25">
      <c r="A107" s="252" t="s">
        <v>39</v>
      </c>
    </row>
    <row r="108" spans="1:4" ht="67.5" customHeight="1" x14ac:dyDescent="0.25">
      <c r="A108" s="19" t="s">
        <v>1572</v>
      </c>
    </row>
    <row r="109" spans="1:4" ht="39.6" x14ac:dyDescent="0.25">
      <c r="A109" s="19" t="s">
        <v>1231</v>
      </c>
    </row>
    <row r="110" spans="1:4" ht="29.55" customHeight="1" x14ac:dyDescent="0.25">
      <c r="A110" s="19" t="s">
        <v>40</v>
      </c>
    </row>
    <row r="111" spans="1:4" x14ac:dyDescent="0.25">
      <c r="D111" s="20" t="s">
        <v>38</v>
      </c>
    </row>
    <row r="112" spans="1:4" ht="92.4" x14ac:dyDescent="0.25">
      <c r="A112" s="23" t="s">
        <v>1230</v>
      </c>
    </row>
    <row r="113" spans="1:2" ht="26.4" x14ac:dyDescent="0.25">
      <c r="A113" s="19" t="s">
        <v>1229</v>
      </c>
    </row>
    <row r="115" spans="1:2" ht="182.55" customHeight="1" x14ac:dyDescent="0.25">
      <c r="A115" s="23" t="s">
        <v>1574</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1573</v>
      </c>
    </row>
    <row r="127" spans="1:2" ht="39.6" x14ac:dyDescent="0.25">
      <c r="A127" s="23" t="s">
        <v>48</v>
      </c>
    </row>
    <row r="128" spans="1:2" ht="26.4" x14ac:dyDescent="0.25">
      <c r="A128" s="23" t="s">
        <v>1240</v>
      </c>
    </row>
    <row r="129" spans="1:1" x14ac:dyDescent="0.25">
      <c r="A129" s="296" t="s">
        <v>19</v>
      </c>
    </row>
    <row r="130" spans="1:1" x14ac:dyDescent="0.25">
      <c r="A130" s="295" t="s">
        <v>49</v>
      </c>
    </row>
    <row r="131" spans="1:1" x14ac:dyDescent="0.25">
      <c r="A131" s="23"/>
    </row>
    <row r="132" spans="1:1" x14ac:dyDescent="0.25">
      <c r="A132" s="286" t="s">
        <v>50</v>
      </c>
    </row>
    <row r="133" spans="1:1" ht="31.05" customHeight="1" x14ac:dyDescent="0.25">
      <c r="A133" s="23" t="s">
        <v>1232</v>
      </c>
    </row>
    <row r="134" spans="1:1" ht="52.8" x14ac:dyDescent="0.25">
      <c r="A134" s="292" t="s">
        <v>1241</v>
      </c>
    </row>
    <row r="135" spans="1:1" x14ac:dyDescent="0.25">
      <c r="A135" s="252" t="s">
        <v>1242</v>
      </c>
    </row>
    <row r="136" spans="1:1" ht="109.5" customHeight="1" x14ac:dyDescent="0.25">
      <c r="A136" s="292" t="s">
        <v>1233</v>
      </c>
    </row>
    <row r="137" spans="1:1" x14ac:dyDescent="0.25">
      <c r="A137"/>
    </row>
    <row r="138" spans="1:1" ht="61.2" customHeight="1" x14ac:dyDescent="0.25">
      <c r="A138" s="317" t="s">
        <v>1577</v>
      </c>
    </row>
    <row r="140" spans="1:1" ht="66"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4" t="str">
        <f>Spolu!C3&amp;", "&amp;Spolu!C6</f>
        <v>Slovenský zväz športového rybolovu, Andreja Kmeťa 314/20, Žilina, 010 01</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5">
      <c r="A14" s="139" t="s">
        <v>1152</v>
      </c>
      <c r="B14" s="379" t="s">
        <v>1169</v>
      </c>
      <c r="C14" s="380"/>
      <c r="F14" s="302"/>
      <c r="N14" s="137" t="str">
        <f t="shared" si="0"/>
        <v xml:space="preserve">n - </v>
      </c>
      <c r="O14" s="137" t="s">
        <v>265</v>
      </c>
    </row>
    <row r="15" spans="1:16" ht="34.35"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 customHeight="1" x14ac:dyDescent="0.25">
      <c r="A17" s="139" t="s">
        <v>1158</v>
      </c>
      <c r="B17" s="142">
        <f>F9</f>
        <v>0</v>
      </c>
      <c r="C17" s="137"/>
      <c r="F17" s="382"/>
      <c r="N17" s="137" t="str">
        <f t="shared" si="0"/>
        <v xml:space="preserve">q - </v>
      </c>
      <c r="O17" s="137" t="s">
        <v>268</v>
      </c>
    </row>
    <row r="18" spans="1:16" ht="15.6" thickBot="1" x14ac:dyDescent="0.3">
      <c r="B18" s="185" t="s">
        <v>1171</v>
      </c>
      <c r="C18" s="186">
        <v>31</v>
      </c>
      <c r="N18" s="137" t="str">
        <f t="shared" si="0"/>
        <v xml:space="preserve">r - </v>
      </c>
      <c r="O18" s="137" t="s">
        <v>269</v>
      </c>
    </row>
    <row r="19" spans="1:16" x14ac:dyDescent="0.25">
      <c r="B19" s="185" t="s">
        <v>1160</v>
      </c>
      <c r="C19" s="142" t="str">
        <f>Spolu!C4</f>
        <v>51118831</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B44" sqref="B44"/>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1174</v>
      </c>
    </row>
    <row r="2" spans="1:2" ht="30" customHeight="1" x14ac:dyDescent="0.25">
      <c r="A2" s="383" t="s">
        <v>1175</v>
      </c>
      <c r="B2" s="383"/>
    </row>
    <row r="3" spans="1:2"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t="s">
        <v>1889</v>
      </c>
      <c r="B37" s="63" t="s">
        <v>1890</v>
      </c>
    </row>
    <row r="38" spans="1:2" x14ac:dyDescent="0.25">
      <c r="A38" s="63" t="s">
        <v>1178</v>
      </c>
      <c r="B38" s="63" t="s">
        <v>1179</v>
      </c>
    </row>
    <row r="39" spans="1:2" x14ac:dyDescent="0.25">
      <c r="A39" s="63" t="s">
        <v>1891</v>
      </c>
      <c r="B39" s="63" t="s">
        <v>1181</v>
      </c>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5" t="s">
        <v>51</v>
      </c>
      <c r="B1" s="325"/>
      <c r="C1" s="325"/>
      <c r="D1" s="325"/>
      <c r="E1" s="325"/>
      <c r="F1" s="325"/>
      <c r="G1" s="325"/>
      <c r="H1" s="325"/>
      <c r="I1" s="52"/>
      <c r="J1" s="37"/>
    </row>
    <row r="2" spans="1:11" ht="13.8" x14ac:dyDescent="0.2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3.8" x14ac:dyDescent="0.25">
      <c r="A3" s="40"/>
      <c r="B3" s="40"/>
      <c r="C3" s="40"/>
      <c r="D3" s="40"/>
      <c r="E3" s="40"/>
      <c r="F3" s="40"/>
      <c r="G3" s="40"/>
      <c r="H3" s="330" t="str">
        <f>+Doklady!I101</f>
        <v>zväz športového rybolovu</v>
      </c>
      <c r="I3" s="330"/>
    </row>
    <row r="4" spans="1:11" ht="15.75" customHeight="1" x14ac:dyDescent="0.25">
      <c r="A4" s="41" t="s">
        <v>52</v>
      </c>
      <c r="B4" s="326" t="s">
        <v>53</v>
      </c>
      <c r="C4" s="327"/>
      <c r="D4" s="327"/>
      <c r="E4" s="328"/>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1495</v>
      </c>
      <c r="C8" s="47" t="s">
        <v>64</v>
      </c>
      <c r="D8" s="48">
        <v>46146</v>
      </c>
      <c r="E8" s="46" t="s">
        <v>65</v>
      </c>
      <c r="F8" s="46"/>
      <c r="G8" s="46" t="s">
        <v>66</v>
      </c>
      <c r="H8" s="49">
        <v>1350</v>
      </c>
      <c r="I8" s="55">
        <v>3</v>
      </c>
      <c r="J8" s="44"/>
    </row>
    <row r="9" spans="1:11" ht="13.2" x14ac:dyDescent="0.25">
      <c r="A9" s="46" t="s">
        <v>63</v>
      </c>
      <c r="B9" s="47" t="s">
        <v>1496</v>
      </c>
      <c r="C9" s="47" t="s">
        <v>67</v>
      </c>
      <c r="D9" s="48">
        <v>46147</v>
      </c>
      <c r="E9" s="46" t="s">
        <v>68</v>
      </c>
      <c r="F9" s="46"/>
      <c r="G9" s="46" t="s">
        <v>69</v>
      </c>
      <c r="H9" s="49">
        <v>100</v>
      </c>
      <c r="I9" s="55">
        <v>3</v>
      </c>
      <c r="J9" s="44"/>
    </row>
    <row r="10" spans="1:11" ht="13.2" x14ac:dyDescent="0.25">
      <c r="A10" s="46" t="s">
        <v>63</v>
      </c>
      <c r="B10" s="47" t="s">
        <v>1497</v>
      </c>
      <c r="C10" s="47" t="s">
        <v>70</v>
      </c>
      <c r="D10" s="48">
        <v>46148</v>
      </c>
      <c r="E10" s="46" t="s">
        <v>71</v>
      </c>
      <c r="F10" s="46"/>
      <c r="G10" s="46" t="s">
        <v>72</v>
      </c>
      <c r="H10" s="49">
        <v>50</v>
      </c>
      <c r="I10" s="55">
        <v>3</v>
      </c>
      <c r="J10" s="44"/>
    </row>
    <row r="11" spans="1:11" ht="13.2" x14ac:dyDescent="0.25">
      <c r="A11" s="46" t="s">
        <v>63</v>
      </c>
      <c r="B11" s="47" t="s">
        <v>1498</v>
      </c>
      <c r="C11" s="47" t="s">
        <v>73</v>
      </c>
      <c r="D11" s="48">
        <v>46149</v>
      </c>
      <c r="E11" s="46" t="s">
        <v>74</v>
      </c>
      <c r="F11" s="46"/>
      <c r="G11" s="46" t="s">
        <v>75</v>
      </c>
      <c r="H11" s="49">
        <v>200</v>
      </c>
      <c r="I11" s="55">
        <v>3</v>
      </c>
      <c r="J11" s="44"/>
    </row>
    <row r="12" spans="1:11" ht="13.2" x14ac:dyDescent="0.25">
      <c r="A12" s="46" t="s">
        <v>63</v>
      </c>
      <c r="B12" s="47" t="s">
        <v>1499</v>
      </c>
      <c r="C12" s="47" t="s">
        <v>76</v>
      </c>
      <c r="D12" s="48">
        <v>46150</v>
      </c>
      <c r="E12" s="46" t="s">
        <v>77</v>
      </c>
      <c r="F12" s="46"/>
      <c r="G12" s="46" t="s">
        <v>78</v>
      </c>
      <c r="H12" s="49">
        <v>180</v>
      </c>
      <c r="I12" s="55">
        <v>3</v>
      </c>
      <c r="J12" s="44"/>
    </row>
    <row r="13" spans="1:11" ht="13.2" x14ac:dyDescent="0.25">
      <c r="A13" s="46" t="s">
        <v>63</v>
      </c>
      <c r="B13" s="47" t="s">
        <v>1500</v>
      </c>
      <c r="C13" s="47" t="s">
        <v>79</v>
      </c>
      <c r="D13" s="48">
        <v>46151</v>
      </c>
      <c r="E13" s="46" t="s">
        <v>80</v>
      </c>
      <c r="F13" s="46"/>
      <c r="G13" s="46" t="s">
        <v>81</v>
      </c>
      <c r="H13" s="49">
        <v>505</v>
      </c>
      <c r="I13" s="55">
        <v>3</v>
      </c>
      <c r="J13" s="44"/>
    </row>
    <row r="14" spans="1:11" ht="13.2" x14ac:dyDescent="0.25">
      <c r="A14" s="46" t="s">
        <v>63</v>
      </c>
      <c r="B14" s="47" t="s">
        <v>1501</v>
      </c>
      <c r="C14" s="47" t="s">
        <v>82</v>
      </c>
      <c r="D14" s="48">
        <v>46152</v>
      </c>
      <c r="E14" s="46" t="s">
        <v>83</v>
      </c>
      <c r="F14" s="46"/>
      <c r="G14" s="46" t="s">
        <v>84</v>
      </c>
      <c r="H14" s="49">
        <v>4700</v>
      </c>
      <c r="I14" s="55">
        <v>2</v>
      </c>
      <c r="J14" s="44"/>
    </row>
    <row r="15" spans="1:11" ht="20.399999999999999" x14ac:dyDescent="0.25">
      <c r="A15" s="46" t="s">
        <v>63</v>
      </c>
      <c r="B15" s="47" t="s">
        <v>1502</v>
      </c>
      <c r="C15" s="47" t="s">
        <v>1536</v>
      </c>
      <c r="D15" s="48">
        <v>46153</v>
      </c>
      <c r="E15" s="46" t="s">
        <v>85</v>
      </c>
      <c r="F15" s="46"/>
      <c r="G15" s="46" t="s">
        <v>86</v>
      </c>
      <c r="H15" s="49">
        <v>3330</v>
      </c>
      <c r="I15" s="55">
        <v>2</v>
      </c>
      <c r="J15" s="44"/>
    </row>
    <row r="16" spans="1:11" ht="13.2" x14ac:dyDescent="0.25">
      <c r="A16" s="46" t="s">
        <v>63</v>
      </c>
      <c r="B16" s="47" t="s">
        <v>1503</v>
      </c>
      <c r="C16" s="47" t="s">
        <v>87</v>
      </c>
      <c r="D16" s="48">
        <v>46154</v>
      </c>
      <c r="E16" s="46" t="s">
        <v>88</v>
      </c>
      <c r="F16" s="46"/>
      <c r="G16" s="46" t="s">
        <v>89</v>
      </c>
      <c r="H16" s="49">
        <v>1000</v>
      </c>
      <c r="I16" s="55">
        <v>2</v>
      </c>
      <c r="J16" s="44"/>
    </row>
    <row r="17" spans="1:18" ht="13.2" x14ac:dyDescent="0.25">
      <c r="A17" s="46" t="s">
        <v>63</v>
      </c>
      <c r="B17" s="47" t="s">
        <v>1504</v>
      </c>
      <c r="C17" s="47" t="s">
        <v>90</v>
      </c>
      <c r="D17" s="48">
        <v>46155</v>
      </c>
      <c r="E17" s="46" t="s">
        <v>91</v>
      </c>
      <c r="F17" s="46"/>
      <c r="G17" s="46" t="s">
        <v>92</v>
      </c>
      <c r="H17" s="49">
        <v>300</v>
      </c>
      <c r="I17" s="55">
        <v>2</v>
      </c>
      <c r="J17" s="44"/>
    </row>
    <row r="18" spans="1:18" ht="13.2" x14ac:dyDescent="0.25">
      <c r="A18" s="46" t="s">
        <v>63</v>
      </c>
      <c r="B18" s="47" t="s">
        <v>1505</v>
      </c>
      <c r="C18" s="47" t="s">
        <v>93</v>
      </c>
      <c r="D18" s="48">
        <v>46156</v>
      </c>
      <c r="E18" s="46" t="s">
        <v>94</v>
      </c>
      <c r="F18" s="46"/>
      <c r="G18" s="46" t="s">
        <v>95</v>
      </c>
      <c r="H18" s="49">
        <v>600</v>
      </c>
      <c r="I18" s="55">
        <v>2</v>
      </c>
      <c r="J18" s="44"/>
    </row>
    <row r="19" spans="1:18" ht="20.399999999999999" x14ac:dyDescent="0.25">
      <c r="A19" s="46" t="s">
        <v>63</v>
      </c>
      <c r="B19" s="47" t="s">
        <v>1506</v>
      </c>
      <c r="C19" s="47" t="s">
        <v>96</v>
      </c>
      <c r="D19" s="48">
        <v>46157</v>
      </c>
      <c r="E19" s="46" t="s">
        <v>1542</v>
      </c>
      <c r="F19" s="46"/>
      <c r="G19" s="46" t="s">
        <v>97</v>
      </c>
      <c r="H19" s="49">
        <v>25.9</v>
      </c>
      <c r="I19" s="55">
        <v>2</v>
      </c>
      <c r="J19" s="44"/>
    </row>
    <row r="20" spans="1:18" ht="13.2" x14ac:dyDescent="0.25">
      <c r="A20" s="46" t="s">
        <v>63</v>
      </c>
      <c r="B20" s="47" t="s">
        <v>1507</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2"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3.2" x14ac:dyDescent="0.25">
      <c r="A26" s="46" t="s">
        <v>63</v>
      </c>
      <c r="B26" s="50">
        <v>46357</v>
      </c>
      <c r="C26" s="47" t="s">
        <v>106</v>
      </c>
      <c r="D26" s="48">
        <v>46165</v>
      </c>
      <c r="E26" s="46" t="s">
        <v>1546</v>
      </c>
      <c r="F26" s="46"/>
      <c r="G26" s="46" t="s">
        <v>112</v>
      </c>
      <c r="H26" s="49">
        <v>50</v>
      </c>
      <c r="I26" s="55">
        <v>4</v>
      </c>
      <c r="J26" s="44"/>
      <c r="O26" s="44"/>
      <c r="P26" s="44"/>
      <c r="Q26" s="44"/>
      <c r="R26" s="44"/>
    </row>
    <row r="27" spans="1:18" ht="13.2" x14ac:dyDescent="0.25">
      <c r="A27" s="46" t="s">
        <v>63</v>
      </c>
      <c r="B27" s="47" t="s">
        <v>1511</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1547</v>
      </c>
      <c r="F28" s="46"/>
      <c r="G28" s="46" t="s">
        <v>117</v>
      </c>
      <c r="H28" s="49">
        <v>10</v>
      </c>
      <c r="I28" s="55">
        <v>4</v>
      </c>
      <c r="J28" s="44"/>
      <c r="O28" s="44"/>
      <c r="P28" s="44"/>
      <c r="Q28" s="44"/>
      <c r="R28" s="44"/>
    </row>
    <row r="29" spans="1:18" ht="13.2" x14ac:dyDescent="0.25">
      <c r="A29" s="46" t="s">
        <v>63</v>
      </c>
      <c r="B29" s="47" t="s">
        <v>118</v>
      </c>
      <c r="C29" s="47" t="s">
        <v>119</v>
      </c>
      <c r="D29" s="48">
        <v>46168</v>
      </c>
      <c r="E29" s="46" t="s">
        <v>1548</v>
      </c>
      <c r="F29" s="46"/>
      <c r="G29" s="46" t="s">
        <v>120</v>
      </c>
      <c r="H29" s="49">
        <v>500</v>
      </c>
      <c r="I29" s="55">
        <v>1</v>
      </c>
      <c r="J29" s="44"/>
      <c r="O29" s="44"/>
      <c r="P29" s="44"/>
      <c r="Q29" s="44"/>
      <c r="R29" s="44"/>
    </row>
    <row r="30" spans="1:18" ht="13.2" x14ac:dyDescent="0.25">
      <c r="A30" s="46" t="s">
        <v>63</v>
      </c>
      <c r="B30" s="47" t="s">
        <v>1512</v>
      </c>
      <c r="C30" s="47" t="s">
        <v>121</v>
      </c>
      <c r="D30" s="48">
        <v>46169</v>
      </c>
      <c r="E30" s="46" t="s">
        <v>122</v>
      </c>
      <c r="F30" s="46"/>
      <c r="G30" s="46" t="s">
        <v>123</v>
      </c>
      <c r="H30" s="49">
        <v>71.2</v>
      </c>
      <c r="I30" s="55">
        <v>3</v>
      </c>
      <c r="J30" s="44"/>
      <c r="O30" s="44"/>
      <c r="P30" s="44"/>
      <c r="Q30" s="44"/>
      <c r="R30" s="44"/>
    </row>
    <row r="31" spans="1:18" ht="51" x14ac:dyDescent="0.25">
      <c r="A31" s="46" t="s">
        <v>63</v>
      </c>
      <c r="B31" s="47" t="s">
        <v>1513</v>
      </c>
      <c r="C31" s="47" t="s">
        <v>1537</v>
      </c>
      <c r="D31" s="48">
        <v>46170</v>
      </c>
      <c r="E31" s="46" t="s">
        <v>1549</v>
      </c>
      <c r="F31" s="46"/>
      <c r="G31" s="46" t="s">
        <v>124</v>
      </c>
      <c r="H31" s="49">
        <v>250</v>
      </c>
      <c r="I31" s="55">
        <v>1</v>
      </c>
      <c r="J31" s="44"/>
    </row>
    <row r="32" spans="1:18" ht="13.2" x14ac:dyDescent="0.25">
      <c r="A32" s="46" t="s">
        <v>63</v>
      </c>
      <c r="B32" s="47" t="s">
        <v>1514</v>
      </c>
      <c r="C32" s="47" t="s">
        <v>125</v>
      </c>
      <c r="D32" s="48">
        <v>46171</v>
      </c>
      <c r="E32" s="46" t="s">
        <v>126</v>
      </c>
      <c r="F32" s="46"/>
      <c r="G32" s="46" t="s">
        <v>127</v>
      </c>
      <c r="H32" s="49">
        <v>320</v>
      </c>
      <c r="I32" s="55">
        <v>5</v>
      </c>
      <c r="J32" s="44"/>
    </row>
    <row r="33" spans="1:18" ht="13.2" x14ac:dyDescent="0.25">
      <c r="A33" s="46" t="s">
        <v>63</v>
      </c>
      <c r="B33" s="47" t="s">
        <v>1515</v>
      </c>
      <c r="C33" s="47" t="s">
        <v>128</v>
      </c>
      <c r="D33" s="48">
        <v>46172</v>
      </c>
      <c r="E33" s="46" t="s">
        <v>1550</v>
      </c>
      <c r="F33" s="46"/>
      <c r="G33" s="46" t="s">
        <v>129</v>
      </c>
      <c r="H33" s="49">
        <v>40</v>
      </c>
      <c r="I33" s="55">
        <v>4</v>
      </c>
      <c r="J33" s="44"/>
    </row>
    <row r="34" spans="1:18" ht="13.2" x14ac:dyDescent="0.25">
      <c r="A34" s="46" t="s">
        <v>63</v>
      </c>
      <c r="B34" s="50">
        <v>46023</v>
      </c>
      <c r="C34" s="47" t="s">
        <v>1538</v>
      </c>
      <c r="D34" s="48">
        <v>46173</v>
      </c>
      <c r="E34" s="46" t="s">
        <v>130</v>
      </c>
      <c r="F34" s="46"/>
      <c r="G34" s="46" t="s">
        <v>131</v>
      </c>
      <c r="H34" s="49">
        <v>25</v>
      </c>
      <c r="I34" s="55">
        <v>4</v>
      </c>
      <c r="J34" s="44"/>
    </row>
    <row r="35" spans="1:18" ht="13.2" x14ac:dyDescent="0.25">
      <c r="A35" s="46" t="s">
        <v>63</v>
      </c>
      <c r="B35" s="50">
        <v>46082</v>
      </c>
      <c r="C35" s="47" t="s">
        <v>132</v>
      </c>
      <c r="D35" s="48">
        <v>46174</v>
      </c>
      <c r="E35" s="46" t="s">
        <v>1551</v>
      </c>
      <c r="F35" s="46"/>
      <c r="G35" s="46" t="s">
        <v>133</v>
      </c>
      <c r="H35" s="49">
        <v>150</v>
      </c>
      <c r="I35" s="55">
        <v>4</v>
      </c>
      <c r="J35" s="44"/>
    </row>
    <row r="36" spans="1:18" ht="13.2"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799999999999997"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399999999999999"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399999999999999"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399999999999999"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34" t="s">
        <v>1568</v>
      </c>
      <c r="B1" s="335"/>
      <c r="C1" s="166">
        <v>46112</v>
      </c>
      <c r="D1" s="26"/>
      <c r="G1" s="244">
        <v>46053</v>
      </c>
    </row>
    <row r="2" spans="1:7" ht="13.8" x14ac:dyDescent="0.25">
      <c r="A2" s="28"/>
      <c r="B2" s="28"/>
      <c r="G2" s="244">
        <v>46081</v>
      </c>
    </row>
    <row r="3" spans="1:7" ht="13.8" x14ac:dyDescent="0.25">
      <c r="A3" s="30" t="s">
        <v>214</v>
      </c>
      <c r="B3" s="332" t="str">
        <f>INDEX(Adr!B:B,Doklady!B102+1)</f>
        <v>Slovenský zväz športového rybolovu</v>
      </c>
      <c r="C3" s="332"/>
      <c r="D3" s="332"/>
      <c r="G3" s="244">
        <v>46112</v>
      </c>
    </row>
    <row r="4" spans="1:7" ht="13.8" x14ac:dyDescent="0.25">
      <c r="A4" s="30" t="s">
        <v>215</v>
      </c>
      <c r="B4" s="29" t="str">
        <f>RIGHT("0000"&amp;INDEX(Adr!A:A,Doklady!B102+1),8)</f>
        <v>51118831</v>
      </c>
      <c r="G4" s="244">
        <v>46142</v>
      </c>
    </row>
    <row r="5" spans="1:7" ht="13.8" x14ac:dyDescent="0.25">
      <c r="A5" s="30" t="s">
        <v>216</v>
      </c>
      <c r="B5" s="29" t="str">
        <f>INDEX(Adr!D:D,Doklady!B102+1)&amp;", "&amp;INDEX(Adr!E:E,Doklady!B102+1)</f>
        <v>Andreja Kmeťa 314/20, Žilina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v>34121</v>
      </c>
      <c r="G11" s="244">
        <v>46356</v>
      </c>
    </row>
    <row r="12" spans="1:7" ht="13.8" x14ac:dyDescent="0.25">
      <c r="A12" s="133" t="s">
        <v>223</v>
      </c>
      <c r="B12" s="134" t="s">
        <v>224</v>
      </c>
      <c r="C12" s="167">
        <f>+Spolu!C12</f>
        <v>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34121</v>
      </c>
      <c r="G15" s="244"/>
    </row>
    <row r="16" spans="1:7" ht="13.8" x14ac:dyDescent="0.25">
      <c r="G16" s="244"/>
    </row>
    <row r="17" spans="1:5" ht="72" customHeight="1" x14ac:dyDescent="0.25">
      <c r="A17" s="333" t="s">
        <v>230</v>
      </c>
      <c r="B17" s="333"/>
      <c r="C17" s="333"/>
      <c r="D17" s="333"/>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3"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5" t="str">
        <f>Doklady!A100</f>
        <v>Priebežné čerpanie a vyúčtovanie finančných prostriedkov poskytnutých zo štátneho rozpočtu v oblasti športu v roku 2026</v>
      </c>
      <c r="B1" s="355"/>
      <c r="C1" s="355"/>
      <c r="D1" s="355"/>
      <c r="E1" s="355"/>
      <c r="F1" s="355"/>
      <c r="G1" s="355"/>
      <c r="H1" s="355"/>
      <c r="I1" s="355"/>
    </row>
    <row r="2" spans="1:26" ht="7.5" customHeight="1" x14ac:dyDescent="0.2">
      <c r="C2" s="8"/>
      <c r="D2" s="8"/>
      <c r="E2" s="8"/>
      <c r="F2" s="8"/>
      <c r="G2" s="8"/>
      <c r="H2" s="8"/>
      <c r="I2" s="8"/>
    </row>
    <row r="3" spans="1:26" s="9" customFormat="1" ht="26.1" customHeight="1" x14ac:dyDescent="0.25">
      <c r="B3" s="152" t="s">
        <v>52</v>
      </c>
      <c r="C3" s="356" t="str">
        <f>INDEX(Adr!B2:B242,Doklady!B102)</f>
        <v>Slovenský zväz športového rybolovu</v>
      </c>
      <c r="D3" s="356"/>
      <c r="E3" s="356"/>
      <c r="F3" s="356"/>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51118831</v>
      </c>
      <c r="I4" s="65" t="str">
        <f>Doklady!I101</f>
        <v>zväz športového rybolovu</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Andreja Kmeťa 314/20, Žilina, 010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7" t="s">
        <v>235</v>
      </c>
      <c r="F9" s="358"/>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51">
        <f>SUMIF(K:K,A10,I:I)</f>
        <v>0</v>
      </c>
      <c r="F10" s="352"/>
      <c r="L10" s="120" t="s">
        <v>236</v>
      </c>
      <c r="M10" s="118"/>
      <c r="N10" s="118"/>
      <c r="O10" s="118"/>
      <c r="P10" s="118"/>
      <c r="Q10" s="118"/>
      <c r="R10" s="118"/>
      <c r="S10" s="118"/>
    </row>
    <row r="11" spans="1:26" ht="17.399999999999999" x14ac:dyDescent="0.3">
      <c r="A11" s="69" t="s">
        <v>221</v>
      </c>
      <c r="B11" s="70" t="s">
        <v>222</v>
      </c>
      <c r="C11" s="126">
        <f>SUMIF(FP!J:J,Doklady!$B$1&amp;A11,FP!D:D)</f>
        <v>136484</v>
      </c>
      <c r="D11" s="126">
        <f>+C11-E11</f>
        <v>13952.559999999998</v>
      </c>
      <c r="E11" s="359">
        <f>+I39-I42+I44-I47</f>
        <v>122531.44</v>
      </c>
      <c r="F11" s="360"/>
      <c r="J11" s="168"/>
      <c r="L11" s="153" t="str">
        <f>L41</f>
        <v>a - športové rybárstvo - bežné transfery</v>
      </c>
      <c r="M11" s="118"/>
      <c r="N11" s="118"/>
      <c r="O11" s="118"/>
      <c r="P11" s="118"/>
      <c r="Q11" s="118"/>
      <c r="R11" s="118"/>
      <c r="S11" s="118"/>
    </row>
    <row r="12" spans="1:26" ht="17.399999999999999" x14ac:dyDescent="0.3">
      <c r="A12" s="69" t="s">
        <v>223</v>
      </c>
      <c r="B12" s="70" t="s">
        <v>224</v>
      </c>
      <c r="C12" s="126">
        <f>SUMIF(FP!J:J,Doklady!$B$1&amp;A12,FP!D:D)</f>
        <v>0</v>
      </c>
      <c r="D12" s="126">
        <f>C12-E12</f>
        <v>0</v>
      </c>
      <c r="E12" s="351">
        <f>SUMIF(K:K,A12,I:I)</f>
        <v>0</v>
      </c>
      <c r="F12" s="352"/>
      <c r="J12" s="169"/>
      <c r="L12" s="153" t="str">
        <f>L42</f>
        <v>a - športové rybárstvo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51">
        <f>SUMIF(K:K,A13,I:I)</f>
        <v>0</v>
      </c>
      <c r="F13" s="352"/>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61">
        <f>SUMIF(K:K,A14,I:I)</f>
        <v>0</v>
      </c>
      <c r="F14" s="362"/>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43" t="s">
        <v>238</v>
      </c>
      <c r="C16" s="344"/>
      <c r="D16" s="344"/>
      <c r="E16" s="344"/>
      <c r="F16" s="344"/>
      <c r="G16" s="344"/>
      <c r="H16" s="34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46" t="s">
        <v>241</v>
      </c>
      <c r="C17" s="346"/>
      <c r="D17" s="346"/>
      <c r="E17" s="346"/>
      <c r="F17" s="346"/>
      <c r="G17" s="346"/>
      <c r="H17" s="346"/>
      <c r="I17" s="73">
        <f>SUMIF(FP!I:I,Doklady!$B$1&amp;A17,FP!D:D)</f>
        <v>136484</v>
      </c>
      <c r="T17" s="86"/>
    </row>
    <row r="18" spans="1:20" x14ac:dyDescent="0.2">
      <c r="A18" s="135" t="s">
        <v>242</v>
      </c>
      <c r="B18" s="346" t="s">
        <v>243</v>
      </c>
      <c r="C18" s="346"/>
      <c r="D18" s="346"/>
      <c r="E18" s="346"/>
      <c r="F18" s="346"/>
      <c r="G18" s="346"/>
      <c r="H18" s="346"/>
      <c r="I18" s="73">
        <f>SUMIF(FP!I:I,Doklady!$B$1&amp;A18,FP!D:D)</f>
        <v>0</v>
      </c>
    </row>
    <row r="19" spans="1:20" x14ac:dyDescent="0.2">
      <c r="A19" s="115" t="s">
        <v>244</v>
      </c>
      <c r="B19" s="346" t="s">
        <v>245</v>
      </c>
      <c r="C19" s="346"/>
      <c r="D19" s="346"/>
      <c r="E19" s="346"/>
      <c r="F19" s="346"/>
      <c r="G19" s="346"/>
      <c r="H19" s="346"/>
      <c r="I19" s="73">
        <f>SUMIF(FP!I:I,Doklady!$B$1&amp;A19,FP!D:D)</f>
        <v>0</v>
      </c>
    </row>
    <row r="20" spans="1:20" x14ac:dyDescent="0.2">
      <c r="A20" s="135" t="s">
        <v>246</v>
      </c>
      <c r="B20" s="340" t="s">
        <v>247</v>
      </c>
      <c r="C20" s="341"/>
      <c r="D20" s="341"/>
      <c r="E20" s="341"/>
      <c r="F20" s="341"/>
      <c r="G20" s="341"/>
      <c r="H20" s="342"/>
      <c r="I20" s="73">
        <f>SUMIF(FP!I:I,Doklady!$B$1&amp;A20,FP!D:D)</f>
        <v>0</v>
      </c>
      <c r="T20" s="86"/>
    </row>
    <row r="21" spans="1:20" x14ac:dyDescent="0.2">
      <c r="A21" s="115" t="s">
        <v>248</v>
      </c>
      <c r="B21" s="340" t="s">
        <v>249</v>
      </c>
      <c r="C21" s="341"/>
      <c r="D21" s="341"/>
      <c r="E21" s="341"/>
      <c r="F21" s="341"/>
      <c r="G21" s="341"/>
      <c r="H21" s="342"/>
      <c r="I21" s="73">
        <f>SUMIF(FP!I:I,Doklady!$B$1&amp;A21,FP!D:D)</f>
        <v>0</v>
      </c>
      <c r="T21" s="86"/>
    </row>
    <row r="22" spans="1:20" x14ac:dyDescent="0.2">
      <c r="A22" s="135" t="s">
        <v>250</v>
      </c>
      <c r="B22" s="347" t="s">
        <v>251</v>
      </c>
      <c r="C22" s="348"/>
      <c r="D22" s="348"/>
      <c r="E22" s="348"/>
      <c r="F22" s="348"/>
      <c r="G22" s="348"/>
      <c r="H22" s="349"/>
      <c r="I22" s="73">
        <f>SUMIF(FP!I:I,Doklady!$B$1&amp;A22,FP!D:D)</f>
        <v>0</v>
      </c>
      <c r="T22" s="86"/>
    </row>
    <row r="23" spans="1:20" x14ac:dyDescent="0.2">
      <c r="A23" s="115" t="s">
        <v>252</v>
      </c>
      <c r="B23" s="340" t="s">
        <v>253</v>
      </c>
      <c r="C23" s="341"/>
      <c r="D23" s="341"/>
      <c r="E23" s="341"/>
      <c r="F23" s="341"/>
      <c r="G23" s="341"/>
      <c r="H23" s="342"/>
      <c r="I23" s="73">
        <f>SUMIF(FP!I:I,Doklady!$B$1&amp;A23,FP!D:D)</f>
        <v>0</v>
      </c>
      <c r="T23" s="86"/>
    </row>
    <row r="24" spans="1:20" x14ac:dyDescent="0.2">
      <c r="A24" s="135" t="s">
        <v>254</v>
      </c>
      <c r="B24" s="340" t="s">
        <v>255</v>
      </c>
      <c r="C24" s="341"/>
      <c r="D24" s="341"/>
      <c r="E24" s="341"/>
      <c r="F24" s="341"/>
      <c r="G24" s="341"/>
      <c r="H24" s="342"/>
      <c r="I24" s="73">
        <f>SUMIF(FP!I:I,Doklady!$B$1&amp;A24,FP!D:D)</f>
        <v>0</v>
      </c>
      <c r="T24" s="86"/>
    </row>
    <row r="25" spans="1:20" x14ac:dyDescent="0.2">
      <c r="A25" s="115" t="s">
        <v>256</v>
      </c>
      <c r="B25" s="363" t="s">
        <v>1469</v>
      </c>
      <c r="C25" s="364"/>
      <c r="D25" s="364"/>
      <c r="E25" s="364"/>
      <c r="F25" s="364"/>
      <c r="G25" s="364"/>
      <c r="H25" s="365"/>
      <c r="I25" s="73">
        <f>SUMIF(FP!I:I,Doklady!$B$1&amp;A25,FP!D:D)</f>
        <v>0</v>
      </c>
      <c r="T25" s="86"/>
    </row>
    <row r="26" spans="1:20" x14ac:dyDescent="0.2">
      <c r="A26" s="135" t="s">
        <v>257</v>
      </c>
      <c r="B26" s="340" t="s">
        <v>258</v>
      </c>
      <c r="C26" s="341"/>
      <c r="D26" s="341"/>
      <c r="E26" s="341"/>
      <c r="F26" s="341"/>
      <c r="G26" s="341"/>
      <c r="H26" s="342"/>
      <c r="I26" s="73">
        <f>SUMIF(FP!I:I,Doklady!$B$1&amp;A26,FP!D:D)</f>
        <v>0</v>
      </c>
      <c r="T26" s="86"/>
    </row>
    <row r="27" spans="1:20" x14ac:dyDescent="0.2">
      <c r="A27" s="115" t="s">
        <v>259</v>
      </c>
      <c r="B27" s="340" t="s">
        <v>260</v>
      </c>
      <c r="C27" s="341"/>
      <c r="D27" s="341"/>
      <c r="E27" s="341"/>
      <c r="F27" s="341"/>
      <c r="G27" s="341"/>
      <c r="H27" s="342"/>
      <c r="I27" s="73">
        <f>SUMIF(FP!I:I,Doklady!$B$1&amp;A27,FP!D:D)</f>
        <v>0</v>
      </c>
      <c r="T27" s="86"/>
    </row>
    <row r="28" spans="1:20" x14ac:dyDescent="0.2">
      <c r="A28" s="135" t="s">
        <v>261</v>
      </c>
      <c r="B28" s="340" t="s">
        <v>1482</v>
      </c>
      <c r="C28" s="341"/>
      <c r="D28" s="341"/>
      <c r="E28" s="341"/>
      <c r="F28" s="341"/>
      <c r="G28" s="341"/>
      <c r="H28" s="342"/>
      <c r="I28" s="73">
        <f>SUMIF(FP!I:I,Doklady!$B$1&amp;A28,FP!D:D)</f>
        <v>0</v>
      </c>
      <c r="T28" s="86"/>
    </row>
    <row r="29" spans="1:20" x14ac:dyDescent="0.2">
      <c r="A29" s="115" t="s">
        <v>263</v>
      </c>
      <c r="B29" s="340" t="s">
        <v>264</v>
      </c>
      <c r="C29" s="341"/>
      <c r="D29" s="341"/>
      <c r="E29" s="341"/>
      <c r="F29" s="341"/>
      <c r="G29" s="341"/>
      <c r="H29" s="342"/>
      <c r="I29" s="73">
        <f>SUMIF(FP!I:I,Doklady!$B$1&amp;A29,FP!D:D)</f>
        <v>0</v>
      </c>
      <c r="T29" s="86"/>
    </row>
    <row r="30" spans="1:20" hidden="1" x14ac:dyDescent="0.2">
      <c r="A30" s="135" t="s">
        <v>265</v>
      </c>
      <c r="B30" s="340"/>
      <c r="C30" s="341"/>
      <c r="D30" s="341"/>
      <c r="E30" s="341"/>
      <c r="F30" s="341"/>
      <c r="G30" s="341"/>
      <c r="H30" s="342"/>
      <c r="I30" s="73">
        <f>SUMIF(FP!I:I,Doklady!$B$1&amp;A30,FP!D:D)</f>
        <v>0</v>
      </c>
      <c r="T30" s="86"/>
    </row>
    <row r="31" spans="1:20" hidden="1" x14ac:dyDescent="0.2">
      <c r="A31" s="115" t="s">
        <v>266</v>
      </c>
      <c r="B31" s="340"/>
      <c r="C31" s="341"/>
      <c r="D31" s="341"/>
      <c r="E31" s="341"/>
      <c r="F31" s="341"/>
      <c r="G31" s="341"/>
      <c r="H31" s="342"/>
      <c r="I31" s="73">
        <f>SUMIF(FP!I:I,Doklady!$B$1&amp;A31,FP!D:D)</f>
        <v>0</v>
      </c>
      <c r="T31" s="86"/>
    </row>
    <row r="32" spans="1:20" hidden="1" x14ac:dyDescent="0.2">
      <c r="A32" s="135" t="s">
        <v>267</v>
      </c>
      <c r="B32" s="336"/>
      <c r="C32" s="337"/>
      <c r="D32" s="337"/>
      <c r="E32" s="337"/>
      <c r="F32" s="337"/>
      <c r="G32" s="337"/>
      <c r="H32" s="338"/>
      <c r="I32" s="73">
        <f>SUMIF(FP!I:I,Doklady!$B$1&amp;A32,FP!D:D)</f>
        <v>0</v>
      </c>
      <c r="T32" s="86"/>
    </row>
    <row r="33" spans="1:21" hidden="1" x14ac:dyDescent="0.2">
      <c r="A33" s="115" t="s">
        <v>268</v>
      </c>
      <c r="B33" s="336"/>
      <c r="C33" s="337"/>
      <c r="D33" s="337"/>
      <c r="E33" s="337"/>
      <c r="F33" s="337"/>
      <c r="G33" s="337"/>
      <c r="H33" s="338"/>
      <c r="I33" s="73">
        <f>SUMIF(FP!I:I,Doklady!$B$1&amp;A33,FP!D:D)</f>
        <v>0</v>
      </c>
      <c r="T33" s="86"/>
    </row>
    <row r="34" spans="1:21" hidden="1" x14ac:dyDescent="0.2">
      <c r="A34" s="135" t="s">
        <v>269</v>
      </c>
      <c r="B34" s="339"/>
      <c r="C34" s="339"/>
      <c r="D34" s="339"/>
      <c r="E34" s="339"/>
      <c r="F34" s="339"/>
      <c r="G34" s="339"/>
      <c r="H34" s="339"/>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20.399999999999999" x14ac:dyDescent="0.2">
      <c r="A38" s="67" t="s">
        <v>237</v>
      </c>
      <c r="B38" s="67" t="str">
        <f>"Šport "&amp;K40</f>
        <v>Šport športové rybárstvo</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27296.800000000003</v>
      </c>
      <c r="D39" s="78">
        <f>I39*0.2</f>
        <v>27296.800000000003</v>
      </c>
      <c r="E39" s="78">
        <f>I39*0.25</f>
        <v>34121</v>
      </c>
      <c r="F39" s="78">
        <f>+I39*0.15</f>
        <v>20472.599999999999</v>
      </c>
      <c r="G39" s="78">
        <f>+MAX(I39-C39-D39-E39-F39-H39,0)</f>
        <v>27296.799999999996</v>
      </c>
      <c r="H39" s="78">
        <f>+IFERROR(VLOOKUP(K40&amp;" - kapitálové transfery",B$53:C$90,2,0),0)</f>
        <v>0</v>
      </c>
      <c r="I39" s="73">
        <f>SUMIF(FP!K:K,K40,FP!D:D)</f>
        <v>136484</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5750</v>
      </c>
      <c r="F40" s="78">
        <f>DSUM(Doklady!A103:J10000,"GGG",Spolu!R40:S42)</f>
        <v>6791.3600000000006</v>
      </c>
      <c r="G40" s="78">
        <f>DSUM(Doklady!A103:J10000,"GGG",Spolu!T40:U42)-H40</f>
        <v>1411.2</v>
      </c>
      <c r="H40" s="78">
        <f>+IFERROR(VLOOKUP(K40&amp;" - kapitálové transfery",B$53:D$90,3,0),0)</f>
        <v>0</v>
      </c>
      <c r="I40" s="73">
        <f>+C40+D40+E40+F40+G40+H40</f>
        <v>13952.560000000001</v>
      </c>
      <c r="J40" s="210" t="str">
        <f>+K45</f>
        <v>.</v>
      </c>
      <c r="K40" s="210" t="str">
        <f>IF(L38&gt;0,INDEX(FP!K:K,Doklady!B2),".")</f>
        <v>športové rybárstvo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27296.800000000003</v>
      </c>
      <c r="D41" s="78">
        <f>MAX(D39-D40,0)</f>
        <v>27296.800000000003</v>
      </c>
      <c r="E41" s="78">
        <f>MAX(E39-E40,0)</f>
        <v>28371</v>
      </c>
      <c r="F41" s="78">
        <f>MIN(I39,MAX(-F39+F40,0))</f>
        <v>0</v>
      </c>
      <c r="G41" s="78">
        <f>MIN(J39,MAX(-G39+G40+MIN(F40-F39,0),0))</f>
        <v>0</v>
      </c>
      <c r="H41" s="78">
        <f>MAX(H39-H40,0)</f>
        <v>0</v>
      </c>
      <c r="I41" s="124">
        <f>+I39-I42</f>
        <v>122531.44</v>
      </c>
      <c r="J41" s="211">
        <f>+K46</f>
        <v>0</v>
      </c>
      <c r="K41" s="211">
        <f>+I41-H41</f>
        <v>122531.44</v>
      </c>
      <c r="L41" s="153" t="str">
        <f>IF(L38&gt;0,"a - "&amp;INDEX(FP!C:C,Doklady!B2),2)</f>
        <v>a - športové rybárstvo - bežné transfery</v>
      </c>
      <c r="M41" s="120">
        <v>1</v>
      </c>
      <c r="N41" s="153" t="str">
        <f>+L41</f>
        <v>a - športové rybárstvo - bežné transfery</v>
      </c>
      <c r="O41" s="120">
        <v>2</v>
      </c>
      <c r="P41" s="153" t="str">
        <f>+L41</f>
        <v>a - športové rybárstvo - bežné transfery</v>
      </c>
      <c r="Q41" s="120">
        <v>3</v>
      </c>
      <c r="R41" s="153" t="str">
        <f>+L41</f>
        <v>a - športové rybárstvo - bežné transfery</v>
      </c>
      <c r="S41" s="120">
        <v>4</v>
      </c>
      <c r="T41" s="153" t="str">
        <f>+L41</f>
        <v>a - športové rybárstvo - bežné transfery</v>
      </c>
      <c r="U41" s="120">
        <v>5</v>
      </c>
    </row>
    <row r="42" spans="1:21" ht="10.5" customHeight="1" x14ac:dyDescent="0.2">
      <c r="A42" s="115" t="s">
        <v>240</v>
      </c>
      <c r="B42" s="116" t="s">
        <v>277</v>
      </c>
      <c r="C42" s="73">
        <f>+C40</f>
        <v>0</v>
      </c>
      <c r="D42" s="208">
        <f>+D40</f>
        <v>0</v>
      </c>
      <c r="E42" s="208">
        <f>+E40</f>
        <v>5750</v>
      </c>
      <c r="F42" s="208">
        <f>+MIN(F39:F40)</f>
        <v>6791.3600000000006</v>
      </c>
      <c r="G42" s="208">
        <f>+MIN(G39+MAX(F39-F40,0)-MAX(E40-E39,0)-MAX(D40-D39,0)-MAX(C40-C39,0),G40)</f>
        <v>1411.2</v>
      </c>
      <c r="H42" s="208">
        <f>+MIN(H39:H40)</f>
        <v>0</v>
      </c>
      <c r="I42" s="73">
        <f>+C42+D42+E42+MIN(F39:F40)+G42+H42</f>
        <v>13952.560000000001</v>
      </c>
      <c r="J42" s="211">
        <f>+K47</f>
        <v>0</v>
      </c>
      <c r="K42" s="211">
        <f>+I42-H42</f>
        <v>13952.560000000001</v>
      </c>
      <c r="L42" s="153" t="str">
        <f>+SUBSTITUTE(L41,"bežné","kapitálové")</f>
        <v>a - športové rybárstvo - kapitálové transfery</v>
      </c>
      <c r="M42" s="120">
        <v>1</v>
      </c>
      <c r="N42" s="153" t="str">
        <f>+L42</f>
        <v>a - športové rybárstvo - kapitálové transfery</v>
      </c>
      <c r="O42" s="120">
        <v>2</v>
      </c>
      <c r="P42" s="153" t="str">
        <f>+L42</f>
        <v>a - športové rybárstvo - kapitálové transfery</v>
      </c>
      <c r="Q42" s="120">
        <v>3</v>
      </c>
      <c r="R42" s="153" t="str">
        <f>+L42</f>
        <v>a - športové rybárstvo - kapitálové transfery</v>
      </c>
      <c r="S42" s="120">
        <v>4</v>
      </c>
      <c r="T42" s="153" t="str">
        <f>+L42</f>
        <v>a - športové rybárstvo - kapitálové transfery</v>
      </c>
      <c r="U42" s="120">
        <v>5</v>
      </c>
    </row>
    <row r="43" spans="1:21" ht="20.399999999999999"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3"/>
      <c r="B50" s="354"/>
      <c r="C50" s="354"/>
      <c r="D50" s="354"/>
      <c r="E50" s="354"/>
      <c r="F50" s="354"/>
      <c r="G50" s="354"/>
      <c r="H50" s="354"/>
      <c r="I50" s="354"/>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športové rybárstvo - bežné transfery</v>
      </c>
      <c r="C53" s="73">
        <f>IF(A53&lt;&gt;"",INDEX(FP!D:D,Doklady!B$2+(ROW()-53)),"")</f>
        <v>136484</v>
      </c>
      <c r="D53" s="73">
        <f>IF(A53&lt;&gt;"",Doklady!I1-Doklady!J1,"")</f>
        <v>13952.560000000001</v>
      </c>
      <c r="E53" s="73">
        <f>IF(A53&lt;&gt;"",MIN(D53,C53)*Doklady!C1/(1-Doklady!C1),"")</f>
        <v>0</v>
      </c>
      <c r="F53" s="71">
        <f>IF(A53&lt;&gt;"",Doklady!J1,"")</f>
        <v>0</v>
      </c>
      <c r="G53" s="73">
        <f>+IFERROR(HLOOKUP(IF(RIGHT(B53,15)="bežné transfery",LEFT(B53,LEN(B53)-18),0),$J$40:$K$42,3,0),MIN(C53,D53))</f>
        <v>13952.560000000001</v>
      </c>
      <c r="H53" s="71"/>
      <c r="I53" s="73">
        <f>IF(A53&lt;&gt;"",MAX(IF(G53&lt;C53,C53-G53,0)+IF(F53&lt;E53,E53-F53,0),0),0)</f>
        <v>122531.44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136484</v>
      </c>
      <c r="D130" s="220">
        <f t="shared" ref="D130:I130" si="9">SUM(D53:D129)</f>
        <v>13952.560000000001</v>
      </c>
      <c r="E130" s="220">
        <f t="shared" si="9"/>
        <v>0</v>
      </c>
      <c r="F130" s="220">
        <f t="shared" si="9"/>
        <v>0</v>
      </c>
      <c r="G130" s="220">
        <f t="shared" si="9"/>
        <v>13952.560000000001</v>
      </c>
      <c r="H130" s="220">
        <f t="shared" si="9"/>
        <v>0</v>
      </c>
      <c r="I130" s="220">
        <f t="shared" si="9"/>
        <v>122531.44</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66"/>
      <c r="E140" s="366"/>
      <c r="F140" s="366"/>
      <c r="G140" s="366"/>
      <c r="H140" s="366"/>
      <c r="I140" s="366"/>
      <c r="J140" s="85"/>
    </row>
    <row r="141" spans="1:26" ht="68.25" customHeight="1" x14ac:dyDescent="0.25">
      <c r="A141" s="9"/>
      <c r="B141" s="273" t="s">
        <v>293</v>
      </c>
      <c r="C141" s="206"/>
      <c r="D141" s="350" t="s">
        <v>294</v>
      </c>
      <c r="E141" s="350"/>
      <c r="F141" s="350"/>
      <c r="G141" s="350"/>
      <c r="H141" s="350"/>
      <c r="I141" s="350"/>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4" zoomScaleNormal="100" workbookViewId="0">
      <selection activeCell="B108" sqref="B108"/>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športové rybárstvo - bežné transfery</v>
      </c>
      <c r="B1" s="224" t="str">
        <f>INDEX(Adr!A:A,B102+1)</f>
        <v>51118831</v>
      </c>
      <c r="C1" s="225">
        <f>IF(ROW()&lt;=B$3,INDEX(FP!E:E,B$2+ROW()-1),"")</f>
        <v>0</v>
      </c>
      <c r="D1" s="226" t="str">
        <f>IF(ROW()&lt;=B$3,INDEX(FP!F:F,B$2+ROW()-1),"")</f>
        <v>a</v>
      </c>
      <c r="E1" s="226"/>
      <c r="F1" s="226" t="str">
        <f>IF(ROW()&lt;=B$3,INDEX(FP!G:G,B$2+ROW()-1),"")</f>
        <v>026 02</v>
      </c>
      <c r="G1" s="226"/>
      <c r="H1" s="227" t="str">
        <f>IF(ROW()&lt;=B$3,INDEX(FP!C:C,B$2+ROW()-1),"")</f>
        <v>športové rybárstvo - bežné transfery</v>
      </c>
      <c r="I1" s="228">
        <f t="shared" ref="I1:I6" si="0">IF(ROW()&lt;=B$3,SUMIF(A$107:A$10042,A1,I$107:I$10042),"")</f>
        <v>13952.560000000001</v>
      </c>
      <c r="J1" s="228">
        <f t="shared" ref="J1:J32" si="1">IF(ROW()&lt;=B$3,SUMIFS(I$103:I$50042,A$103:A$50042,K1,J$103:J$50042,L1),"")</f>
        <v>0</v>
      </c>
      <c r="K1" s="110" t="str">
        <f>$A1</f>
        <v>a - športové rybárstvo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
      </c>
      <c r="B2" s="229">
        <f>MATCH(B1,FP!A:A,0)</f>
        <v>289</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8"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8"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8"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67" t="s">
        <v>1486</v>
      </c>
      <c r="B100" s="367"/>
      <c r="C100" s="367"/>
      <c r="D100" s="367"/>
      <c r="E100" s="367"/>
      <c r="F100" s="367"/>
      <c r="G100" s="367"/>
      <c r="H100" s="367"/>
      <c r="I100" s="369" t="s">
        <v>1487</v>
      </c>
      <c r="J100" s="369"/>
      <c r="K100" s="89"/>
    </row>
    <row r="101" spans="1:25" ht="15.6" x14ac:dyDescent="0.3">
      <c r="A101" s="367"/>
      <c r="B101" s="367"/>
      <c r="C101" s="367"/>
      <c r="D101" s="367"/>
      <c r="E101" s="367"/>
      <c r="F101" s="367"/>
      <c r="G101" s="367"/>
      <c r="H101" s="367"/>
      <c r="I101" s="368" t="s">
        <v>1854</v>
      </c>
      <c r="J101" s="368"/>
    </row>
    <row r="102" spans="1:25" ht="13.8" x14ac:dyDescent="0.25">
      <c r="A102" s="241" t="s">
        <v>299</v>
      </c>
      <c r="B102" s="242">
        <v>91</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1" x14ac:dyDescent="0.25">
      <c r="A107" s="14" t="s">
        <v>1855</v>
      </c>
      <c r="B107" s="14" t="s">
        <v>1859</v>
      </c>
      <c r="C107" s="14"/>
      <c r="D107" s="16">
        <v>46059</v>
      </c>
      <c r="E107" s="16"/>
      <c r="F107" s="14" t="s">
        <v>1857</v>
      </c>
      <c r="G107" s="14" t="s">
        <v>1856</v>
      </c>
      <c r="H107" s="14" t="s">
        <v>1858</v>
      </c>
      <c r="I107" s="15">
        <v>3400.71</v>
      </c>
      <c r="J107" s="77">
        <v>4</v>
      </c>
      <c r="K107" s="92"/>
    </row>
    <row r="108" spans="1:25" ht="51" x14ac:dyDescent="0.25">
      <c r="A108" s="14" t="s">
        <v>1855</v>
      </c>
      <c r="B108" s="14" t="s">
        <v>1882</v>
      </c>
      <c r="C108" s="14"/>
      <c r="D108" s="16">
        <v>46086</v>
      </c>
      <c r="E108" s="16"/>
      <c r="F108" s="14" t="s">
        <v>1860</v>
      </c>
      <c r="G108" s="14" t="s">
        <v>1856</v>
      </c>
      <c r="H108" s="14" t="s">
        <v>1858</v>
      </c>
      <c r="I108" s="15">
        <v>3390.65</v>
      </c>
      <c r="J108" s="77">
        <v>4</v>
      </c>
      <c r="K108" s="92"/>
    </row>
    <row r="109" spans="1:25" ht="30.6" x14ac:dyDescent="0.25">
      <c r="A109" s="14" t="s">
        <v>1855</v>
      </c>
      <c r="B109" s="14" t="s">
        <v>1883</v>
      </c>
      <c r="C109" s="14" t="s">
        <v>1861</v>
      </c>
      <c r="D109" s="16">
        <v>46100</v>
      </c>
      <c r="E109" s="16"/>
      <c r="F109" s="14" t="s">
        <v>1862</v>
      </c>
      <c r="G109" s="14" t="s">
        <v>1863</v>
      </c>
      <c r="H109" s="14" t="s">
        <v>1864</v>
      </c>
      <c r="I109" s="15">
        <v>900</v>
      </c>
      <c r="J109" s="77">
        <v>5</v>
      </c>
      <c r="K109" s="92"/>
    </row>
    <row r="110" spans="1:25" ht="20.399999999999999" x14ac:dyDescent="0.25">
      <c r="A110" s="14" t="s">
        <v>1855</v>
      </c>
      <c r="B110" s="14" t="s">
        <v>1884</v>
      </c>
      <c r="C110" s="14" t="s">
        <v>1865</v>
      </c>
      <c r="D110" s="16">
        <v>46105</v>
      </c>
      <c r="E110" s="16"/>
      <c r="F110" s="14" t="s">
        <v>1866</v>
      </c>
      <c r="G110" s="14" t="s">
        <v>1868</v>
      </c>
      <c r="H110" s="14" t="s">
        <v>1867</v>
      </c>
      <c r="I110" s="15">
        <v>511.2</v>
      </c>
      <c r="J110" s="77">
        <v>5</v>
      </c>
      <c r="K110" s="92"/>
    </row>
    <row r="111" spans="1:25" ht="20.399999999999999" x14ac:dyDescent="0.25">
      <c r="A111" s="14" t="s">
        <v>1855</v>
      </c>
      <c r="B111" s="14" t="s">
        <v>1885</v>
      </c>
      <c r="C111" s="14" t="s">
        <v>1869</v>
      </c>
      <c r="D111" s="16">
        <v>46105</v>
      </c>
      <c r="E111" s="16"/>
      <c r="F111" s="14" t="s">
        <v>1870</v>
      </c>
      <c r="G111" s="14" t="s">
        <v>1871</v>
      </c>
      <c r="H111" s="14" t="s">
        <v>1872</v>
      </c>
      <c r="I111" s="15">
        <v>1600</v>
      </c>
      <c r="J111" s="77">
        <v>3</v>
      </c>
      <c r="K111" s="92"/>
    </row>
    <row r="112" spans="1:25" ht="20.399999999999999" x14ac:dyDescent="0.25">
      <c r="A112" s="14" t="s">
        <v>1855</v>
      </c>
      <c r="B112" s="14" t="s">
        <v>1886</v>
      </c>
      <c r="C112" s="14" t="s">
        <v>1873</v>
      </c>
      <c r="D112" s="16">
        <v>46107</v>
      </c>
      <c r="E112" s="16"/>
      <c r="F112" s="14" t="s">
        <v>1874</v>
      </c>
      <c r="G112" s="14" t="s">
        <v>1871</v>
      </c>
      <c r="H112" s="14" t="s">
        <v>1875</v>
      </c>
      <c r="I112" s="15">
        <v>1500</v>
      </c>
      <c r="J112" s="77">
        <v>3</v>
      </c>
      <c r="K112" s="92"/>
    </row>
    <row r="113" spans="1:11" ht="30.6" x14ac:dyDescent="0.25">
      <c r="A113" s="14" t="s">
        <v>1855</v>
      </c>
      <c r="B113" s="14" t="s">
        <v>1887</v>
      </c>
      <c r="C113" s="14" t="s">
        <v>1876</v>
      </c>
      <c r="D113" s="16">
        <v>46107</v>
      </c>
      <c r="E113" s="16"/>
      <c r="F113" s="14" t="s">
        <v>1878</v>
      </c>
      <c r="G113" s="14" t="s">
        <v>1877</v>
      </c>
      <c r="H113" s="14" t="s">
        <v>1879</v>
      </c>
      <c r="I113" s="15">
        <v>1600</v>
      </c>
      <c r="J113" s="77">
        <v>3</v>
      </c>
      <c r="K113" s="92"/>
    </row>
    <row r="114" spans="1:11" ht="30.6" x14ac:dyDescent="0.25">
      <c r="A114" s="14" t="s">
        <v>1855</v>
      </c>
      <c r="B114" s="14" t="s">
        <v>1888</v>
      </c>
      <c r="C114" s="14" t="s">
        <v>1880</v>
      </c>
      <c r="D114" s="16">
        <v>46108</v>
      </c>
      <c r="E114" s="16"/>
      <c r="F114" s="14" t="s">
        <v>1881</v>
      </c>
      <c r="G114" s="14" t="s">
        <v>1871</v>
      </c>
      <c r="H114" s="14" t="s">
        <v>1875</v>
      </c>
      <c r="I114" s="15">
        <v>1050</v>
      </c>
      <c r="J114" s="77">
        <v>3</v>
      </c>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phoneticPr fontId="1" type="noConversion"/>
  <conditionalFormatting sqref="A1055:H1066">
    <cfRule type="expression" dxfId="88" priority="37" stopIfTrue="1">
      <formula>$A1055&lt;&gt;""</formula>
    </cfRule>
  </conditionalFormatting>
  <conditionalFormatting sqref="A1112:H1113">
    <cfRule type="expression" dxfId="87" priority="48" stopIfTrue="1">
      <formula>$A1112&lt;&gt;""</formula>
    </cfRule>
  </conditionalFormatting>
  <conditionalFormatting sqref="A107:J5000">
    <cfRule type="expression" dxfId="86" priority="1" stopIfTrue="1">
      <formula>$A107&lt;&gt;""</formula>
    </cfRule>
  </conditionalFormatting>
  <conditionalFormatting sqref="B472:E477">
    <cfRule type="expression" dxfId="85" priority="139" stopIfTrue="1">
      <formula>$A472&lt;&gt;""</formula>
    </cfRule>
  </conditionalFormatting>
  <conditionalFormatting sqref="B484:E488">
    <cfRule type="expression" dxfId="84" priority="174" stopIfTrue="1">
      <formula>$A484&lt;&gt;""</formula>
    </cfRule>
  </conditionalFormatting>
  <conditionalFormatting sqref="B689:E689">
    <cfRule type="expression" dxfId="83" priority="66" stopIfTrue="1">
      <formula>$A689&lt;&gt;""</formula>
    </cfRule>
  </conditionalFormatting>
  <conditionalFormatting sqref="B691:E691 H691:I691 B692:I693 B694:E699 H694:I699">
    <cfRule type="expression" dxfId="82" priority="26" stopIfTrue="1">
      <formula>$A691&lt;&gt;""</formula>
    </cfRule>
  </conditionalFormatting>
  <conditionalFormatting sqref="B701:E701 H701:I701">
    <cfRule type="expression" dxfId="81" priority="17" stopIfTrue="1">
      <formula>$A701&lt;&gt;""</formula>
    </cfRule>
  </conditionalFormatting>
  <conditionalFormatting sqref="B819:E819">
    <cfRule type="expression" dxfId="80" priority="89" stopIfTrue="1">
      <formula>$A819&lt;&gt;""</formula>
    </cfRule>
  </conditionalFormatting>
  <conditionalFormatting sqref="B1110:E1110">
    <cfRule type="expression" dxfId="79" priority="135" stopIfTrue="1">
      <formula>$A1110&lt;&gt;""</formula>
    </cfRule>
  </conditionalFormatting>
  <conditionalFormatting sqref="B1114:E1114">
    <cfRule type="expression" dxfId="78" priority="191" stopIfTrue="1">
      <formula>$A1114&lt;&gt;""</formula>
    </cfRule>
  </conditionalFormatting>
  <conditionalFormatting sqref="B1131:E1136">
    <cfRule type="expression" dxfId="77" priority="181" stopIfTrue="1">
      <formula>$A1131&lt;&gt;""</formula>
    </cfRule>
  </conditionalFormatting>
  <conditionalFormatting sqref="B1138:E1148">
    <cfRule type="expression" dxfId="76" priority="49" stopIfTrue="1">
      <formula>$A1138&lt;&gt;""</formula>
    </cfRule>
  </conditionalFormatting>
  <conditionalFormatting sqref="B1152:E1152">
    <cfRule type="expression" dxfId="75" priority="75" stopIfTrue="1">
      <formula>$A1152&lt;&gt;""</formula>
    </cfRule>
  </conditionalFormatting>
  <conditionalFormatting sqref="B1253:E1260 I1253:J1270">
    <cfRule type="expression" dxfId="74" priority="125" stopIfTrue="1">
      <formula>$A1253&lt;&gt;""</formula>
    </cfRule>
  </conditionalFormatting>
  <conditionalFormatting sqref="B1293:E1301">
    <cfRule type="expression" dxfId="73" priority="160" stopIfTrue="1">
      <formula>$A1293&lt;&gt;""</formula>
    </cfRule>
  </conditionalFormatting>
  <conditionalFormatting sqref="B1303:E1326">
    <cfRule type="expression" dxfId="72" priority="39" stopIfTrue="1">
      <formula>$A1303&lt;&gt;""</formula>
    </cfRule>
  </conditionalFormatting>
  <conditionalFormatting sqref="B1360:E1363">
    <cfRule type="expression" dxfId="71" priority="56" stopIfTrue="1">
      <formula>$A1360&lt;&gt;""</formula>
    </cfRule>
  </conditionalFormatting>
  <conditionalFormatting sqref="B1365:E1367">
    <cfRule type="expression" dxfId="70" priority="261" stopIfTrue="1">
      <formula>$A1365&lt;&gt;""</formula>
    </cfRule>
  </conditionalFormatting>
  <conditionalFormatting sqref="B1369:E1379">
    <cfRule type="expression" dxfId="69" priority="80" stopIfTrue="1">
      <formula>$A1369&lt;&gt;""</formula>
    </cfRule>
  </conditionalFormatting>
  <conditionalFormatting sqref="B1393:E1404">
    <cfRule type="expression" dxfId="68" priority="118" stopIfTrue="1">
      <formula>$A1393&lt;&gt;""</formula>
    </cfRule>
  </conditionalFormatting>
  <conditionalFormatting sqref="B1412:E1450">
    <cfRule type="expression" dxfId="67" priority="155" stopIfTrue="1">
      <formula>$A1412&lt;&gt;""</formula>
    </cfRule>
  </conditionalFormatting>
  <conditionalFormatting sqref="B1453:E1458">
    <cfRule type="expression" dxfId="66" priority="225" stopIfTrue="1">
      <formula>$A1453&lt;&gt;""</formula>
    </cfRule>
  </conditionalFormatting>
  <conditionalFormatting sqref="B489:G489">
    <cfRule type="expression" dxfId="65" priority="175" stopIfTrue="1">
      <formula>$A489&lt;&gt;""</formula>
    </cfRule>
  </conditionalFormatting>
  <conditionalFormatting sqref="B478:H483">
    <cfRule type="expression" dxfId="64" priority="195" stopIfTrue="1">
      <formula>$A478&lt;&gt;""</formula>
    </cfRule>
  </conditionalFormatting>
  <conditionalFormatting sqref="B490:H496">
    <cfRule type="expression" dxfId="63" priority="151" stopIfTrue="1">
      <formula>$A490&lt;&gt;""</formula>
    </cfRule>
  </conditionalFormatting>
  <conditionalFormatting sqref="B1067:H1082">
    <cfRule type="expression" dxfId="62" priority="221" stopIfTrue="1">
      <formula>$A1067&lt;&gt;""</formula>
    </cfRule>
  </conditionalFormatting>
  <conditionalFormatting sqref="B1272:H1274 B1275:E1288 H1275:H1288">
    <cfRule type="expression" dxfId="61" priority="150" stopIfTrue="1">
      <formula>$A1272&lt;&gt;""</formula>
    </cfRule>
  </conditionalFormatting>
  <conditionalFormatting sqref="B1290:H1292">
    <cfRule type="expression" dxfId="60" priority="45" stopIfTrue="1">
      <formula>$A1290&lt;&gt;""</formula>
    </cfRule>
  </conditionalFormatting>
  <conditionalFormatting sqref="B1364:H1364">
    <cfRule type="expression" dxfId="59" priority="291" stopIfTrue="1">
      <formula>$A1364&lt;&gt;""</formula>
    </cfRule>
  </conditionalFormatting>
  <conditionalFormatting sqref="B1380:H1385">
    <cfRule type="expression" dxfId="58" priority="19" stopIfTrue="1">
      <formula>$A1380&lt;&gt;""</formula>
    </cfRule>
  </conditionalFormatting>
  <conditionalFormatting sqref="B1410:H1411">
    <cfRule type="expression" dxfId="57" priority="198" stopIfTrue="1">
      <formula>$A1410&lt;&gt;""</formula>
    </cfRule>
  </conditionalFormatting>
  <conditionalFormatting sqref="B175:I189 I190:I227 B190:E241">
    <cfRule type="expression" dxfId="56" priority="248" stopIfTrue="1">
      <formula>$A175&lt;&gt;""</formula>
    </cfRule>
  </conditionalFormatting>
  <conditionalFormatting sqref="B242:I242 B243:E275">
    <cfRule type="expression" dxfId="55" priority="262" stopIfTrue="1">
      <formula>$A242&lt;&gt;""</formula>
    </cfRule>
  </conditionalFormatting>
  <conditionalFormatting sqref="B276:I320">
    <cfRule type="expression" dxfId="54" priority="95" stopIfTrue="1">
      <formula>$A276&lt;&gt;""</formula>
    </cfRule>
  </conditionalFormatting>
  <conditionalFormatting sqref="B497:I499">
    <cfRule type="expression" dxfId="53" priority="97" stopIfTrue="1">
      <formula>$A497&lt;&gt;""</formula>
    </cfRule>
  </conditionalFormatting>
  <conditionalFormatting sqref="B645:I688">
    <cfRule type="expression" dxfId="52" priority="258" stopIfTrue="1">
      <formula>$A645&lt;&gt;""</formula>
    </cfRule>
  </conditionalFormatting>
  <conditionalFormatting sqref="B690:I690">
    <cfRule type="expression" dxfId="51" priority="24" stopIfTrue="1">
      <formula>$A690&lt;&gt;""</formula>
    </cfRule>
  </conditionalFormatting>
  <conditionalFormatting sqref="B1137:I1137">
    <cfRule type="expression" dxfId="50" priority="149" stopIfTrue="1">
      <formula>$A1137&lt;&gt;""</formula>
    </cfRule>
  </conditionalFormatting>
  <conditionalFormatting sqref="B1149:I1151">
    <cfRule type="expression" dxfId="49" priority="18" stopIfTrue="1">
      <formula>$A1149&lt;&gt;""</formula>
    </cfRule>
  </conditionalFormatting>
  <conditionalFormatting sqref="B1153:I1157">
    <cfRule type="expression" dxfId="48" priority="20" stopIfTrue="1">
      <formula>$A1153&lt;&gt;""</formula>
    </cfRule>
  </conditionalFormatting>
  <conditionalFormatting sqref="B1271:I1271 I1272:I1288">
    <cfRule type="expression" dxfId="47" priority="153" stopIfTrue="1">
      <formula>$A1271&lt;&gt;""</formula>
    </cfRule>
  </conditionalFormatting>
  <conditionalFormatting sqref="B1368:I1368">
    <cfRule type="expression" dxfId="46" priority="148" stopIfTrue="1">
      <formula>$A1368&lt;&gt;""</formula>
    </cfRule>
  </conditionalFormatting>
  <conditionalFormatting sqref="B135:J163">
    <cfRule type="expression" dxfId="45" priority="71" stopIfTrue="1">
      <formula>$A135&lt;&gt;""</formula>
    </cfRule>
  </conditionalFormatting>
  <conditionalFormatting sqref="B360:J420">
    <cfRule type="expression" dxfId="44" priority="263" stopIfTrue="1">
      <formula>$A360&lt;&gt;""</formula>
    </cfRule>
  </conditionalFormatting>
  <conditionalFormatting sqref="B457:J458">
    <cfRule type="expression" dxfId="43" priority="224" stopIfTrue="1">
      <formula>$A457&lt;&gt;""</formula>
    </cfRule>
  </conditionalFormatting>
  <conditionalFormatting sqref="B599:J625">
    <cfRule type="expression" dxfId="42" priority="4" stopIfTrue="1">
      <formula>$A599&lt;&gt;""</formula>
    </cfRule>
  </conditionalFormatting>
  <conditionalFormatting sqref="B1053:J1054">
    <cfRule type="expression" dxfId="41" priority="219" stopIfTrue="1">
      <formula>$A1053&lt;&gt;""</formula>
    </cfRule>
  </conditionalFormatting>
  <conditionalFormatting sqref="B1127:J1130">
    <cfRule type="expression" dxfId="40" priority="9" stopIfTrue="1">
      <formula>$A1127&lt;&gt;""</formula>
    </cfRule>
  </conditionalFormatting>
  <conditionalFormatting sqref="B1158:J1252">
    <cfRule type="expression" dxfId="39" priority="35" stopIfTrue="1">
      <formula>$A1158&lt;&gt;""</formula>
    </cfRule>
  </conditionalFormatting>
  <conditionalFormatting sqref="B1406:J1406">
    <cfRule type="expression" dxfId="38" priority="200" stopIfTrue="1">
      <formula>$A1406&lt;&gt;""</formula>
    </cfRule>
  </conditionalFormatting>
  <conditionalFormatting sqref="B1461:J4374">
    <cfRule type="expression" dxfId="37" priority="44" stopIfTrue="1">
      <formula>$A1461&lt;&gt;""</formula>
    </cfRule>
  </conditionalFormatting>
  <conditionalFormatting sqref="F191:H195">
    <cfRule type="expression" dxfId="36" priority="126" stopIfTrue="1">
      <formula>$A191&lt;&gt;""</formula>
    </cfRule>
  </conditionalFormatting>
  <conditionalFormatting sqref="F198:H199">
    <cfRule type="expression" dxfId="35" priority="120" stopIfTrue="1">
      <formula>$A198&lt;&gt;""</formula>
    </cfRule>
  </conditionalFormatting>
  <conditionalFormatting sqref="F472:H473">
    <cfRule type="expression" dxfId="34" priority="141" stopIfTrue="1">
      <formula>$A472&lt;&gt;""</formula>
    </cfRule>
  </conditionalFormatting>
  <conditionalFormatting sqref="F476:H477">
    <cfRule type="expression" dxfId="33" priority="231" stopIfTrue="1">
      <formula>$A476&lt;&gt;""</formula>
    </cfRule>
  </conditionalFormatting>
  <conditionalFormatting sqref="F484:H486 H487:H489">
    <cfRule type="expression" dxfId="32" priority="173" stopIfTrue="1">
      <formula>$A484&lt;&gt;""</formula>
    </cfRule>
  </conditionalFormatting>
  <conditionalFormatting sqref="F1131:H1131">
    <cfRule type="expression" dxfId="31" priority="282" stopIfTrue="1">
      <formula>$A1131&lt;&gt;""</formula>
    </cfRule>
  </conditionalFormatting>
  <conditionalFormatting sqref="F1255:H1260">
    <cfRule type="expression" dxfId="30" priority="124" stopIfTrue="1">
      <formula>$A1255&lt;&gt;""</formula>
    </cfRule>
  </conditionalFormatting>
  <conditionalFormatting sqref="F170:I172">
    <cfRule type="expression" dxfId="29" priority="252" stopIfTrue="1">
      <formula>$A170&lt;&gt;""</formula>
    </cfRule>
  </conditionalFormatting>
  <conditionalFormatting sqref="F247:I247">
    <cfRule type="expression" dxfId="28" priority="152"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2" stopIfTrue="1">
      <formula>$A164&lt;&gt;""</formula>
    </cfRule>
  </conditionalFormatting>
  <conditionalFormatting sqref="H190">
    <cfRule type="expression" dxfId="26" priority="132" stopIfTrue="1">
      <formula>$A190&lt;&gt;""</formula>
    </cfRule>
  </conditionalFormatting>
  <conditionalFormatting sqref="H196:H197">
    <cfRule type="expression" dxfId="25" priority="121" stopIfTrue="1">
      <formula>$A196&lt;&gt;""</formula>
    </cfRule>
  </conditionalFormatting>
  <conditionalFormatting sqref="H200:H228">
    <cfRule type="expression" dxfId="24" priority="11" stopIfTrue="1">
      <formula>$A200&lt;&gt;""</formula>
    </cfRule>
  </conditionalFormatting>
  <conditionalFormatting sqref="H474:H475">
    <cfRule type="expression" dxfId="23" priority="145" stopIfTrue="1">
      <formula>$A474&lt;&gt;""</formula>
    </cfRule>
  </conditionalFormatting>
  <conditionalFormatting sqref="H1132:H1136">
    <cfRule type="expression" dxfId="22" priority="183" stopIfTrue="1">
      <formula>$A1132&lt;&gt;""</formula>
    </cfRule>
  </conditionalFormatting>
  <conditionalFormatting sqref="H1254">
    <cfRule type="expression" dxfId="21" priority="194" stopIfTrue="1">
      <formula>$A1254&lt;&gt;""</formula>
    </cfRule>
  </conditionalFormatting>
  <conditionalFormatting sqref="H1293:H1301">
    <cfRule type="expression" dxfId="20" priority="162" stopIfTrue="1">
      <formula>$A1293&lt;&gt;""</formula>
    </cfRule>
  </conditionalFormatting>
  <conditionalFormatting sqref="H1303:H1326">
    <cfRule type="expression" dxfId="19" priority="41" stopIfTrue="1">
      <formula>$A1303&lt;&gt;""</formula>
    </cfRule>
  </conditionalFormatting>
  <conditionalFormatting sqref="H1365:H1367">
    <cfRule type="expression" dxfId="18" priority="260" stopIfTrue="1">
      <formula>$A1365&lt;&gt;""</formula>
    </cfRule>
  </conditionalFormatting>
  <conditionalFormatting sqref="H1369:H1379">
    <cfRule type="expression" dxfId="17" priority="21" stopIfTrue="1">
      <formula>$A1369&lt;&gt;""</formula>
    </cfRule>
  </conditionalFormatting>
  <conditionalFormatting sqref="H1412">
    <cfRule type="expression" dxfId="16" priority="157" stopIfTrue="1">
      <formula>$A1412&lt;&gt;""</formula>
    </cfRule>
  </conditionalFormatting>
  <conditionalFormatting sqref="H1453:H1458">
    <cfRule type="expression" dxfId="15" priority="227" stopIfTrue="1">
      <formula>$A1453&lt;&gt;""</formula>
    </cfRule>
  </conditionalFormatting>
  <conditionalFormatting sqref="H173:I174">
    <cfRule type="expression" dxfId="14" priority="249" stopIfTrue="1">
      <formula>$A173&lt;&gt;""</formula>
    </cfRule>
  </conditionalFormatting>
  <conditionalFormatting sqref="H243:I246">
    <cfRule type="expression" dxfId="13" priority="251" stopIfTrue="1">
      <formula>$A243&lt;&gt;""</formula>
    </cfRule>
  </conditionalFormatting>
  <conditionalFormatting sqref="H248:I248">
    <cfRule type="expression" dxfId="12" priority="127" stopIfTrue="1">
      <formula>$A248&lt;&gt;""</formula>
    </cfRule>
  </conditionalFormatting>
  <conditionalFormatting sqref="H689:I689">
    <cfRule type="expression" dxfId="11" priority="68" stopIfTrue="1">
      <formula>$A689&lt;&gt;""</formula>
    </cfRule>
  </conditionalFormatting>
  <conditionalFormatting sqref="H1138:I1148">
    <cfRule type="expression" dxfId="10" priority="52" stopIfTrue="1">
      <formula>$A1138&lt;&gt;""</formula>
    </cfRule>
  </conditionalFormatting>
  <conditionalFormatting sqref="H1152:I1152">
    <cfRule type="expression" dxfId="9" priority="78" stopIfTrue="1">
      <formula>$A1152&lt;&gt;""</formula>
    </cfRule>
  </conditionalFormatting>
  <conditionalFormatting sqref="H1110:J1110">
    <cfRule type="expression" dxfId="8" priority="134" stopIfTrue="1">
      <formula>$A1110&lt;&gt;""</formula>
    </cfRule>
  </conditionalFormatting>
  <conditionalFormatting sqref="H1360:J1363">
    <cfRule type="expression" dxfId="7" priority="57" stopIfTrue="1">
      <formula>$A1360&lt;&gt;""</formula>
    </cfRule>
  </conditionalFormatting>
  <conditionalFormatting sqref="H1393:J1404">
    <cfRule type="expression" dxfId="6" priority="16" stopIfTrue="1">
      <formula>$A1393&lt;&gt;""</formula>
    </cfRule>
  </conditionalFormatting>
  <conditionalFormatting sqref="I472:I496">
    <cfRule type="expression" dxfId="5" priority="142" stopIfTrue="1">
      <formula>$A472&lt;&gt;""</formula>
    </cfRule>
  </conditionalFormatting>
  <conditionalFormatting sqref="I1369:I1385">
    <cfRule type="expression" dxfId="4" priority="84" stopIfTrue="1">
      <formula>$A1369&lt;&gt;""</formula>
    </cfRule>
  </conditionalFormatting>
  <conditionalFormatting sqref="I1290:J1359">
    <cfRule type="expression" dxfId="3" priority="164" stopIfTrue="1">
      <formula>$A1290&lt;&gt;""</formula>
    </cfRule>
  </conditionalFormatting>
  <conditionalFormatting sqref="I1410:J1447">
    <cfRule type="expression" dxfId="2" priority="159" stopIfTrue="1">
      <formula>$A1410&lt;&gt;""</formula>
    </cfRule>
  </conditionalFormatting>
  <conditionalFormatting sqref="I1451:J1458">
    <cfRule type="expression" dxfId="1" priority="257" stopIfTrue="1">
      <formula>$A1451&lt;&gt;""</formula>
    </cfRule>
  </conditionalFormatting>
  <conditionalFormatting sqref="J1137:J1157">
    <cfRule type="expression" dxfId="0" priority="284"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399999999999999"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2"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2"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2"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2"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2"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2"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2"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2"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2"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2"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3.2"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2"/>
      <c r="H128" s="312"/>
      <c r="I128" s="191"/>
      <c r="J128" s="191"/>
      <c r="K128" s="191"/>
      <c r="L128" s="193"/>
      <c r="M128" s="191"/>
      <c r="N128" s="191"/>
      <c r="O128" s="191"/>
      <c r="P128" s="191"/>
    </row>
    <row r="129" spans="1:16" ht="13.2"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3.2"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4"/>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ht="13.2"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4"/>
      <c r="H226" s="277"/>
      <c r="I226" s="277"/>
      <c r="J226" s="277"/>
      <c r="K226" s="277"/>
      <c r="L226" s="278"/>
      <c r="M226" s="277"/>
      <c r="N226" s="277"/>
      <c r="O226" s="277"/>
      <c r="P226" s="277"/>
    </row>
    <row r="227" spans="1:16" ht="13.2"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0.399999999999999"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4" t="str">
        <f>Spolu!C3&amp;", "&amp;Spolu!C6</f>
        <v>Slovenský zväz športového rybolovu, Andreja Kmeťa 314/20, Žilina, 010 01</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0"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51118831</v>
      </c>
      <c r="E18" s="147" t="s">
        <v>1161</v>
      </c>
      <c r="F18" s="274">
        <v>421947749446</v>
      </c>
      <c r="N18" s="137" t="str">
        <f t="shared" si="0"/>
        <v xml:space="preserve">r - </v>
      </c>
      <c r="O18" s="137" t="s">
        <v>269</v>
      </c>
    </row>
    <row r="19" spans="1:16" x14ac:dyDescent="0.25">
      <c r="E19" s="147" t="s">
        <v>1162</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Adriana Weismannova</cp:lastModifiedBy>
  <cp:revision/>
  <cp:lastPrinted>2026-01-22T08:18:11Z</cp:lastPrinted>
  <dcterms:created xsi:type="dcterms:W3CDTF">2017-02-20T06:20:12Z</dcterms:created>
  <dcterms:modified xsi:type="dcterms:W3CDTF">2026-04-08T07:16:51Z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